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5480" windowHeight="7590" tabRatio="828" activeTab="11"/>
  </bookViews>
  <sheets>
    <sheet name="Данни на фирмата" sheetId="1" r:id="rId1"/>
    <sheet name="Съдържание" sheetId="2" r:id="rId2"/>
    <sheet name="Баланс" sheetId="3" r:id="rId3"/>
    <sheet name="ОПР" sheetId="4" r:id="rId4"/>
    <sheet name="ОПП" sheetId="5" r:id="rId5"/>
    <sheet name="ОСК" sheetId="6" r:id="rId6"/>
    <sheet name="DA" sheetId="7" r:id="rId7"/>
    <sheet name="Заглавна Страница" sheetId="8" r:id="rId8"/>
    <sheet name="БАЛАНС_" sheetId="9" r:id="rId9"/>
    <sheet name="ОПР_" sheetId="10" r:id="rId10"/>
    <sheet name="ОПП_" sheetId="11" r:id="rId11"/>
    <sheet name="ОСК_" sheetId="12" r:id="rId12"/>
    <sheet name="Служебни полета" sheetId="13" r:id="rId13"/>
  </sheets>
  <externalReferences>
    <externalReference r:id="rId16"/>
    <externalReference r:id="rId17"/>
  </externalReferences>
  <definedNames>
    <definedName name="adres">'Данни на фирмата'!$B$4</definedName>
    <definedName name="bal101_1" localSheetId="8">'БАЛАНС_'!#REF!</definedName>
    <definedName name="bal101_1">'Баланс'!$J$10</definedName>
    <definedName name="bal121_1" localSheetId="8">'БАЛАНС_'!#REF!</definedName>
    <definedName name="bal121_1">'Баланс'!$J$21</definedName>
    <definedName name="bal122_1" localSheetId="8">'БАЛАНС_'!#REF!</definedName>
    <definedName name="bal122_1">'Баланс'!$J$20</definedName>
    <definedName name="bal123_1" localSheetId="8">'БАЛАНС_'!#REF!</definedName>
    <definedName name="bal123_1">'Баланс'!$J$23</definedName>
    <definedName name="bal201_1" localSheetId="8">'[1]Баланс'!$C$19</definedName>
    <definedName name="bal201_1">'Баланс'!$E$19</definedName>
    <definedName name="bal203_1" localSheetId="8">'[1]Баланс'!$C$20</definedName>
    <definedName name="bal203_1">'Баланс'!$E$20</definedName>
    <definedName name="bal204_1" localSheetId="8">'[1]Баланс'!$C$21</definedName>
    <definedName name="bal204_1">'Баланс'!$E$21</definedName>
    <definedName name="bal206_1" localSheetId="8">'[1]Баланс'!$C$22</definedName>
    <definedName name="bal206_1">'Баланс'!$E$22</definedName>
    <definedName name="bal207_0" localSheetId="8">'БАЛАНС_'!#REF!</definedName>
    <definedName name="bal207_0">'Баланс'!$F$15</definedName>
    <definedName name="bal207_1" localSheetId="8">'БАЛАНС_'!#REF!</definedName>
    <definedName name="bal207_1">'Баланс'!$E$15</definedName>
    <definedName name="bal207м_1" localSheetId="8">'[1]Баланс'!$C$23</definedName>
    <definedName name="bal207м_1">'Баланс'!$E$23</definedName>
    <definedName name="bal50_0" localSheetId="8">'БАЛАНС_'!#REF!</definedName>
    <definedName name="bal50_0">'Баланс'!$F$64</definedName>
    <definedName name="bal50_1" localSheetId="8">'БАЛАНС_'!#REF!</definedName>
    <definedName name="bal50_1">'Баланс'!$E$64</definedName>
    <definedName name="balDrRezerv_1" localSheetId="8">'БАЛАНС_'!#REF!</definedName>
    <definedName name="balDrRezerv_1">'Баланс'!$J$17</definedName>
    <definedName name="balOtsrDan_1" localSheetId="8">'[1]Баланс'!$C$35</definedName>
    <definedName name="balOtsrDan_1">'Баланс'!$E$35</definedName>
    <definedName name="balPremii_1" localSheetId="8">'БАЛАНС_'!#REF!</definedName>
    <definedName name="balPremii_1">'Баланс'!$J$11</definedName>
    <definedName name="balReputaciq0" localSheetId="8">'БАЛАНС_'!#REF!</definedName>
    <definedName name="balReputaciq0">'Баланс'!$F$14</definedName>
    <definedName name="balReputaciq1" localSheetId="8">'БАЛАНС_'!#REF!</definedName>
    <definedName name="balReputaciq1">'Баланс'!$E$14</definedName>
    <definedName name="balRezerv_1" localSheetId="8">'БАЛАНС_'!#REF!</definedName>
    <definedName name="balRezerv_1">'Баланс'!$J$12</definedName>
    <definedName name="balRezerviAkcii_1" localSheetId="8">'БАЛАНС_'!#REF!</definedName>
    <definedName name="balRezerviAkcii_1">'Баланс'!$J$15</definedName>
    <definedName name="balRezervU4rAkt_1" localSheetId="8">'БАЛАНС_'!#REF!</definedName>
    <definedName name="balRezervU4rAkt_1">'Баланс'!$J$16</definedName>
    <definedName name="balZakRezervi_1" localSheetId="8">'БАЛАНС_'!#REF!</definedName>
    <definedName name="balZakRezervi_1">'Баланс'!$J$14</definedName>
    <definedName name="balАкции_1" localSheetId="8">'[1]Баланс'!$C$26</definedName>
    <definedName name="balАкции_1">'Баланс'!$E$26</definedName>
    <definedName name="balАкцииАсоц_1" localSheetId="8">'[1]Баланс'!$C$28</definedName>
    <definedName name="balАкцииАсоц_1">'Баланс'!$E$28</definedName>
    <definedName name="balДрДълг_1" localSheetId="8">'[1]Баланс'!$C$31</definedName>
    <definedName name="balДрДълг_1">'Баланс'!$E$31</definedName>
    <definedName name="balДълЗаеми_1" localSheetId="8">'[1]Баланс'!$C$27</definedName>
    <definedName name="balДълЗаеми_1">'Баланс'!$E$27</definedName>
    <definedName name="balДълИнвест_1" localSheetId="8">'[1]Баланс'!$C$30</definedName>
    <definedName name="balДълИнвест_1">'Баланс'!$E$30</definedName>
    <definedName name="balЗаемиАсоц_1" localSheetId="8">'[1]Баланс'!$C$29</definedName>
    <definedName name="balЗаемиАсоц_1">'Баланс'!$E$29</definedName>
    <definedName name="balИзкупАкции_1" localSheetId="8">'[1]Баланс'!$C$32</definedName>
    <definedName name="balИзкупАкции_1">'Баланс'!$E$32</definedName>
    <definedName name="balпатенти0" localSheetId="8">'БАЛАНС_'!#REF!</definedName>
    <definedName name="balпатенти0">'Баланс'!$F$13</definedName>
    <definedName name="balпатенти1" localSheetId="8">'БАЛАНС_'!#REF!</definedName>
    <definedName name="balпатенти1">'Баланс'!$E$13</definedName>
    <definedName name="balразвойна0" localSheetId="8">'БАЛАНС_'!#REF!</definedName>
    <definedName name="balразвойна0">'Баланс'!$F$12</definedName>
    <definedName name="balразвойна1" localSheetId="8">'БАЛАНС_'!#REF!</definedName>
    <definedName name="balразвойна1">'Баланс'!$E$12</definedName>
    <definedName name="banka">'Данни на фирмата'!$B$5</definedName>
    <definedName name="Ch" localSheetId="8">'БАЛАНС_'!ChBal,[0]!ChOPR</definedName>
    <definedName name="Ch">[0]!ChBal,[0]!ChOPR</definedName>
    <definedName name="Ch1rrt" localSheetId="8">'БАЛАНС_'!ChBal,ChOPR,ChOPP,ChSK,ChDA,ChPok</definedName>
    <definedName name="Ch1rrt">ChBal,ChOPR,ChOPP,ChSK,ChDA,ChPok</definedName>
    <definedName name="ChBal" localSheetId="8">'БАЛАНС_'!#REF!,'БАЛАНС_'!#REF!,'БАЛАНС_'!#REF!</definedName>
    <definedName name="ChBal">'Баланс'!$E$9:$F$71,'Баланс'!$E$81,'Баланс'!$J$9:$K$71</definedName>
    <definedName name="ChDA">'[1]ДА'!$B$8:$P$12,'[1]ДА'!$B$14:$P$20,'[1]ДА'!$B$22:$P$32</definedName>
    <definedName name="ChOPP">'[1]ОПП'!$B$7:$G$36</definedName>
    <definedName name="ChOPR">'[1]ОПР'!$C$9:$D$40,'[1]ОПР'!$F$9:$G$27,'[1]ОПР'!$F$33:$G$36,'[1]ОПР'!$F$39:$G$40</definedName>
    <definedName name="ChPok">#REF!</definedName>
    <definedName name="ChSK">'[1]СК'!$B$7:$L$28</definedName>
    <definedName name="Code" localSheetId="11" hidden="1">#REF!</definedName>
    <definedName name="Code" hidden="1">#REF!</definedName>
    <definedName name="data_na_odobrenie_publikuvane">'Данни на фирмата'!$B$12</definedName>
    <definedName name="data_na_otcheta">'Данни на фирмата'!$B$9</definedName>
    <definedName name="data_na_sustaviane">'Данни на фирмата'!$B$10</definedName>
    <definedName name="data_na_zaverka">'Данни на фирмата'!$B$11</definedName>
    <definedName name="data1" hidden="1">#REF!</definedName>
    <definedName name="data2" hidden="1">#REF!</definedName>
    <definedName name="data3" localSheetId="11" hidden="1">#REF!</definedName>
    <definedName name="data3" hidden="1">#REF!</definedName>
    <definedName name="DDS">'[2]ДДС Кореспонденции'!$A$5:$C$9</definedName>
    <definedName name="Discount" localSheetId="11" hidden="1">#REF!</definedName>
    <definedName name="Discount" hidden="1">#REF!</definedName>
    <definedName name="display_area_2" hidden="1">#REF!</definedName>
    <definedName name="eik">'Данни на фирмата'!$B$2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'ОПР'!$C$2:$K$43</definedName>
    <definedName name="Excel_BuiltIn_Print_Area_5_1_1">'ОПР'!$C$2:$K$55</definedName>
    <definedName name="Excel_BuiltIn_Print_Area_6_1">#REF!</definedName>
    <definedName name="Excel_BuiltIn_Print_Area_6_1_1">#REF!</definedName>
    <definedName name="Excel_BuiltIn_Print_Area_7">#REF!</definedName>
    <definedName name="FCode" hidden="1">#REF!</definedName>
    <definedName name="grad">'Данни на фирмата'!$B$3</definedName>
    <definedName name="HiddenRows" hidden="1">#REF!</definedName>
    <definedName name="ime_firma">'Данни на фирмата'!$B$1</definedName>
    <definedName name="Oditor">'Данни на фирмата'!$B$8</definedName>
    <definedName name="opr603_1">'[1]ОПР'!$C$20</definedName>
    <definedName name="OrderTable" localSheetId="11" hidden="1">#REF!</definedName>
    <definedName name="OrderTable" hidden="1">#REF!</definedName>
    <definedName name="predstavliavasht">'Данни на фирмата'!$B$6</definedName>
    <definedName name="_xlnm.Print_Area" localSheetId="6">'DA'!$A$2:$P$47</definedName>
    <definedName name="_xlnm.Print_Area" localSheetId="2">'Баланс'!$A$1:$K$80</definedName>
    <definedName name="_xlnm.Print_Area" localSheetId="8">'БАЛАНС_'!$A$1:$M$56</definedName>
    <definedName name="_xlnm.Print_Area" localSheetId="4">'ОПП'!$A$2:$I$60</definedName>
    <definedName name="_xlnm.Print_Area" localSheetId="10">'ОПП_'!$A$1:$J$59</definedName>
    <definedName name="_xlnm.Print_Area" localSheetId="3">'ОПР'!$A$2:$K$54</definedName>
    <definedName name="_xlnm.Print_Area" localSheetId="9">'ОПР_'!$A$1:$M$56</definedName>
    <definedName name="_xlnm.Print_Area" localSheetId="5">'ОСК'!$A$2:$N$39</definedName>
    <definedName name="_xlnm.Print_Area" localSheetId="11">'ОСК_'!$A$1:$I$45</definedName>
    <definedName name="_xlnm.Print_Titles" localSheetId="2">'Баланс'!$8:$8</definedName>
    <definedName name="ProdForm" localSheetId="11" hidden="1">#REF!</definedName>
    <definedName name="ProdForm" hidden="1">#REF!</definedName>
    <definedName name="Product" localSheetId="11" hidden="1">#REF!</definedName>
    <definedName name="Product" hidden="1">#REF!</definedName>
    <definedName name="RCArea" localSheetId="11" hidden="1">#REF!</definedName>
    <definedName name="RCArea" hidden="1">#REF!</definedName>
    <definedName name="redD">'[1]ДА'!$B$8:$P$12,'[1]ДА'!$B$14:$P$20,'[1]ДА'!$B$22:$P$32</definedName>
    <definedName name="SpecialPrice" localSheetId="11" hidden="1">#REF!</definedName>
    <definedName name="SpecialPrice" hidden="1">#REF!</definedName>
    <definedName name="sustavitel">'Данни на фирмата'!$B$7</definedName>
    <definedName name="tbl_ProdInfo" localSheetId="11" hidden="1">#REF!</definedName>
    <definedName name="tbl_ProdInfo" hidden="1">#REF!</definedName>
    <definedName name="база" localSheetId="8">OFFSET('[1]ref'!$B$2,0,0,брой_редове+10,10)</definedName>
    <definedName name="база">OFFSET('[1]ref'!$B$2,0,0,брой_редове+10,10)</definedName>
    <definedName name="база_редове" localSheetId="8">OFFSET('[1]ref'!$B$2,0,0,брой_редове+10,1)</definedName>
    <definedName name="база_редове">OFFSET('[1]ref'!$B$2,0,0,брой_редове+10,1)</definedName>
    <definedName name="Банка">'Данни на фирмата'!$B$5</definedName>
    <definedName name="брой_редове">COUNT('[1]ref'!$B$2:$B$65536)</definedName>
    <definedName name="Дата_заверка_одитор">'Данни на фирмата'!$B$11</definedName>
    <definedName name="Дата_на_отчета">'Данни на фирмата'!$B$9</definedName>
    <definedName name="Дата_на_съставяне">'Данни на фирмата'!$B$10</definedName>
    <definedName name="Дата_одобрение_публикуване">'Данни на фирмата'!$B$12</definedName>
    <definedName name="ЕИК">'Данни на фирмата'!$B$2</definedName>
    <definedName name="Организация">'Данни на фирмата'!$B$1</definedName>
    <definedName name="Отчетна_година">'Данни на фирмата'!$B$9</definedName>
    <definedName name="пасив">'Баланс'!$I$71</definedName>
    <definedName name="Представляващ">'Данни на фирмата'!$B$6</definedName>
    <definedName name="Седалище">'Данни на фирмата'!$B$3</definedName>
    <definedName name="Седалищеадрес">'Данни на фирмата'!$B$4</definedName>
    <definedName name="Съставител">'Данни на фирмата'!$B$7</definedName>
  </definedNames>
  <calcPr fullCalcOnLoad="1"/>
</workbook>
</file>

<file path=xl/comments1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НАЧАЛНОТО КРЕДИТНО САЛДО ПО СМЕТКА 122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>НАЧАЛНОТО ДЕБИТНО САЛДО ПО СМЕТКА 121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rFont val="Tahoma"/>
            <family val="2"/>
          </rPr>
          <t xml:space="preserve">Изберете един от двата варианта на ОПР </t>
        </r>
      </text>
    </comment>
    <comment ref="A4" authorId="0">
      <text>
        <r>
          <rPr>
            <sz val="8"/>
            <rFont val="Tahoma"/>
            <family val="2"/>
          </rPr>
          <t xml:space="preserve">Изберете един от двата варианта на ОПР 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M52" authorId="0">
      <text>
        <r>
          <rPr>
            <b/>
            <sz val="9"/>
            <rFont val="Tahoma"/>
            <family val="2"/>
          </rPr>
          <t>Въведете от тук "Други задължения", които не отнасят за : 
1. пресонал
2. осигурители
3. данъци</t>
        </r>
      </text>
    </comment>
    <comment ref="M53" authorId="0">
      <text>
        <r>
          <rPr>
            <b/>
            <sz val="9"/>
            <color indexed="9"/>
            <rFont val="Tahoma"/>
            <family val="2"/>
          </rPr>
          <t>Текуща година</t>
        </r>
      </text>
    </comment>
    <comment ref="M54" authorId="0">
      <text>
        <r>
          <rPr>
            <b/>
            <sz val="9"/>
            <color indexed="9"/>
            <rFont val="Tahoma"/>
            <family val="2"/>
          </rPr>
          <t>Текуща година</t>
        </r>
      </text>
    </comment>
    <comment ref="N53" authorId="0">
      <text>
        <r>
          <rPr>
            <b/>
            <sz val="9"/>
            <color indexed="9"/>
            <rFont val="Tahoma"/>
            <family val="2"/>
          </rPr>
          <t>Птредходна година</t>
        </r>
      </text>
    </comment>
    <comment ref="N54" authorId="0">
      <text>
        <r>
          <rPr>
            <b/>
            <sz val="9"/>
            <color indexed="9"/>
            <rFont val="Tahoma"/>
            <family val="2"/>
          </rPr>
          <t>Птредходна година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N24" authorId="0">
      <text>
        <r>
          <rPr>
            <b/>
            <sz val="9"/>
            <rFont val="Tahoma"/>
            <family val="2"/>
          </rPr>
          <t>Въведете от тук "Други Разходи", които не отнасят за : 
1. балансова стойност на продадени активи
2. провизии</t>
        </r>
      </text>
    </comment>
  </commentList>
</comments>
</file>

<file path=xl/comments6.xml><?xml version="1.0" encoding="utf-8"?>
<comments xmlns="http://schemas.openxmlformats.org/spreadsheetml/2006/main">
  <authors>
    <author>Krasi</author>
  </authors>
  <commentList>
    <comment ref="M12" authorId="0">
      <text>
        <r>
          <rPr>
            <b/>
            <sz val="8"/>
            <rFont val="Tahoma"/>
            <family val="2"/>
          </rPr>
          <t>НАЧЛНОТО САЛДО  ПО СМЕТКА 123</t>
        </r>
      </text>
    </comment>
    <comment ref="L12" authorId="0">
      <text>
        <r>
          <rPr>
            <b/>
            <sz val="8"/>
            <rFont val="Tahoma"/>
            <family val="2"/>
          </rPr>
          <t>НАЧАЛНОТО ДЕБИТНО САЛДО ПО СМЕТКА 121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НАЧАЛНОТО КРЕДИТНО САЛДО ПО СМЕТКА 122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<sst xmlns="http://schemas.openxmlformats.org/spreadsheetml/2006/main" count="719" uniqueCount="359">
  <si>
    <t>1. Счетоводен баланс</t>
  </si>
  <si>
    <t>2. Отчет за приходите и разходите</t>
  </si>
  <si>
    <t>Обратно към Съдържание</t>
  </si>
  <si>
    <t>ОТЧЕТ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</si>
  <si>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</si>
  <si>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</si>
  <si>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</si>
  <si>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</si>
  <si>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</si>
  <si>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</si>
  <si>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</si>
  <si>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</si>
  <si>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</si>
  <si>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</si>
  <si>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трудови възнаграждения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</si>
  <si>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</si>
  <si>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</si>
  <si>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</si>
  <si>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</si>
  <si>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</si>
  <si>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</si>
  <si>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</si>
  <si>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</si>
  <si>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</si>
  <si>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</si>
  <si>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</si>
  <si>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</si>
  <si>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</si>
  <si>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</si>
  <si>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</si>
  <si>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</si>
  <si>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</si>
  <si>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</si>
  <si>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</si>
  <si>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</si>
  <si>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</si>
  <si>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(Хил.лв)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</si>
  <si>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</si>
  <si>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</si>
  <si>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</si>
  <si>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</si>
  <si>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</si>
  <si>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Текуща печалба/загуба</t>
  </si>
  <si>
    <t>Общо собствен капитал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</si>
  <si>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</si>
  <si>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</si>
  <si>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</si>
  <si>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</si>
  <si>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- увеличение</t>
  </si>
  <si>
    <t>- намаление</t>
  </si>
  <si>
    <t xml:space="preserve"> - за дивиденти</t>
  </si>
  <si>
    <t xml:space="preserve"> - увеличения</t>
  </si>
  <si>
    <t xml:space="preserve"> - намаления</t>
  </si>
  <si>
    <t>СЧЕТОВОДЕН БАЛАНС</t>
  </si>
  <si>
    <t>ІV. Отсрочени данъци</t>
  </si>
  <si>
    <t>СУМА НА АКТИВА</t>
  </si>
  <si>
    <t>СУМА НА ПАСИВА</t>
  </si>
  <si>
    <t>#Съдържание.A1</t>
  </si>
  <si>
    <t>О Т Ч Е Т</t>
  </si>
  <si>
    <t>ЗА ПРИХОДИТЕ И РАЗХОДИТЕ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</si>
  <si>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</si>
  <si>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</si>
  <si>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</si>
  <si>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</si>
  <si>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</si>
  <si>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>Общо приходи от оперативната дейност</t>
  </si>
  <si>
    <t>Общо разходи за оперативната дейност</t>
  </si>
  <si>
    <t>Общо финансови разходи</t>
  </si>
  <si>
    <t>Общо разходи за обичайната дейност</t>
  </si>
  <si>
    <t>Общо приходи от обичайната дейност</t>
  </si>
  <si>
    <t xml:space="preserve">Общо разходи </t>
  </si>
  <si>
    <t xml:space="preserve">Общо приходи </t>
  </si>
  <si>
    <t>СПРАВКА</t>
  </si>
  <si>
    <t>(хил.лв.)</t>
  </si>
  <si>
    <t>Отчетна стойност на нетекущите активи:</t>
  </si>
  <si>
    <t>Последваща оценка</t>
  </si>
  <si>
    <t>Преоценена</t>
  </si>
  <si>
    <t>Амортизация</t>
  </si>
  <si>
    <t>Преоценена амортизация в края на периода (11+12-13)</t>
  </si>
  <si>
    <t>Балансова стойност в края на периода (7-14)</t>
  </si>
  <si>
    <t>в началото на периода</t>
  </si>
  <si>
    <t>на постъпилите през годината</t>
  </si>
  <si>
    <t>на излезлите през периода</t>
  </si>
  <si>
    <t>в края на периода (1+2-3)</t>
  </si>
  <si>
    <t>Увеличение</t>
  </si>
  <si>
    <t>Намаление</t>
  </si>
  <si>
    <t xml:space="preserve"> стойност (4+5-6)</t>
  </si>
  <si>
    <t>начислена през периода</t>
  </si>
  <si>
    <t>Отчислена през периода</t>
  </si>
  <si>
    <t>в края на периода (8+9-10)</t>
  </si>
  <si>
    <t>I.  Нематериални активи</t>
  </si>
  <si>
    <t>Общо за група І:</t>
  </si>
  <si>
    <t>ІI. Дълготрайни материални активи</t>
  </si>
  <si>
    <t>Общо за група ІІ:</t>
  </si>
  <si>
    <t xml:space="preserve">III. Дългосрочни финансови активи </t>
  </si>
  <si>
    <t>Общо за група ІІІ:</t>
  </si>
  <si>
    <t>Общо нетекущи активи (I+II+III+IV)</t>
  </si>
  <si>
    <t>Дата на съставяне:</t>
  </si>
  <si>
    <t>3. ОПР едностранен</t>
  </si>
  <si>
    <t>4. Отчет за собствения капитал</t>
  </si>
  <si>
    <t>5. Отчет за паричните потоци</t>
  </si>
  <si>
    <t>6.Справка за дълготрайните активи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</si>
  <si>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</si>
  <si>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</si>
  <si>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</si>
  <si>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>Парични потоци, свързани с краткосрочни финансови активи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</si>
  <si>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</si>
  <si>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</si>
  <si>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</si>
  <si>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комисионни, дивиденти и други подобни</t>
  </si>
  <si>
    <t>ПРИЛОЖЕНИЯ ЗА ОПОВЕСТЯВАНЕ</t>
  </si>
  <si>
    <t>ФОРМИ СЪГЛАСНО СС 1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</si>
  <si>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</si>
  <si>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</si>
  <si>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Общо финансови приходи</t>
  </si>
  <si>
    <t>Предоставени аванси</t>
  </si>
  <si>
    <t>Материални запаси</t>
  </si>
  <si>
    <t>7. Материални запаси</t>
  </si>
  <si>
    <t>8. Приложение разходи</t>
  </si>
  <si>
    <t>9. Приложение финансови разходи</t>
  </si>
  <si>
    <t>10. Приложение приходи</t>
  </si>
  <si>
    <t>11. Приложение финансови приходи</t>
  </si>
  <si>
    <t>12. Участия над 20%</t>
  </si>
  <si>
    <t>13. Приложение Персонал</t>
  </si>
  <si>
    <t>14. Приложение Персонал ІІ</t>
  </si>
  <si>
    <t>15. Приложения капитал</t>
  </si>
  <si>
    <t>16. Приложение Задължения</t>
  </si>
  <si>
    <t>17. Отсрочени данъци</t>
  </si>
  <si>
    <t>18. Приложение свързани лица - салда</t>
  </si>
  <si>
    <t>19. Приложение свързани лица - обеми</t>
  </si>
  <si>
    <t>20. Приложение Строителство</t>
  </si>
  <si>
    <t>Резултатът се попълва автоматично в баланса</t>
  </si>
  <si>
    <t>Организация :</t>
  </si>
  <si>
    <t>ЕИК :</t>
  </si>
  <si>
    <t>Обслужваща банка:</t>
  </si>
  <si>
    <t>Дата заверка от одитор:</t>
  </si>
  <si>
    <t>Седалище и адрес на управление:</t>
  </si>
  <si>
    <t>Дата на одобрение за публикуване:</t>
  </si>
  <si>
    <t>За годината към:</t>
  </si>
  <si>
    <t>Седалище:</t>
  </si>
  <si>
    <t>Заверил одитор:</t>
  </si>
  <si>
    <r>
      <t xml:space="preserve">И н ф о р м а ц и я </t>
    </r>
    <r>
      <rPr>
        <b/>
        <sz val="36"/>
        <color indexed="22"/>
        <rFont val="Webdings"/>
        <family val="1"/>
      </rPr>
      <t>i</t>
    </r>
  </si>
  <si>
    <t>ПРИ НЕОБХОДИМОСТ ДА ГИ ПРОМЕНИТЕ ИЛИ КОРИГИРАТЕ  ОТИДЕТЕ НА : Rewiew =&gt; Protect Sheet</t>
  </si>
  <si>
    <t>СЛЕД КОЕТО ВИ СЪВЕТВАМЕ ОТНОВО ДА ЗАЩИТИТЕ ФОРМУЛИТЕ : Rewiew =&gt;Protect Sheet=&gt; "OK"</t>
  </si>
  <si>
    <t>ЗА ПО-ДОБРА СИГУРНОСТ КЛЕТКИТЕ В КОИТО ИМА ФОРМУЛИ СА ЗАЩИТЕНИ  С (Protect Sheet),  парола няма</t>
  </si>
  <si>
    <t>ЗА ПАРИЧНИТЕ ПОТОЦИ</t>
  </si>
  <si>
    <t>ЗА СОБСТВЕНИЯ КАПИТАЛ</t>
  </si>
  <si>
    <t>АКТИВ </t>
  </si>
  <si>
    <t>ПАСИВ </t>
  </si>
  <si>
    <t>Сума (хил.лв.) </t>
  </si>
  <si>
    <t>РАЗДЕЛИ, ГРУПИ, СТАТИИ </t>
  </si>
  <si>
    <t>Текуща година </t>
  </si>
  <si>
    <t>Предходна година </t>
  </si>
  <si>
    <t>а </t>
  </si>
  <si>
    <t>Записан, но не внесен капитал</t>
  </si>
  <si>
    <t>Собствен капитал</t>
  </si>
  <si>
    <t>Нетекущи (дълготрайни) активи</t>
  </si>
  <si>
    <t>Нематериални активи</t>
  </si>
  <si>
    <t>Продукти от развойна дейност</t>
  </si>
  <si>
    <t>Резерв от последващи оценки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</si>
  <si>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</si>
  <si>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</si>
  <si>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Законови резерви</t>
  </si>
  <si>
    <t>Предоставени аванси и нематериални активи в процес на изграждане</t>
  </si>
  <si>
    <t>Резерв съгласно учредителен  акт</t>
  </si>
  <si>
    <t>Дълготрайни материални активи</t>
  </si>
  <si>
    <t>Земи и сгради, в т. ч.:</t>
  </si>
  <si>
    <t>Натрупана печалба (загуба) от минали години, в т. ч.: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</si>
  <si>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</si>
  <si>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</si>
  <si>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</si>
  <si>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Текуща печалба (загуба)</t>
  </si>
  <si>
    <t>Дългосрочни финансови активи</t>
  </si>
  <si>
    <t>Провизии и сходни задължения</t>
  </si>
  <si>
    <t>Акции и дялове в  предприятия от група</t>
  </si>
  <si>
    <t>Провизии за пенсии и други подобни задължения</t>
  </si>
  <si>
    <t>Предоставени заеми на предприятия от група</t>
  </si>
  <si>
    <t>Провизии за данъци, в т. ч.: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</si>
  <si>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</si>
  <si>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</si>
  <si>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Други провизии и сходни задължения</t>
  </si>
  <si>
    <t>Дългосрочни инвестиции</t>
  </si>
  <si>
    <t>Други заеми</t>
  </si>
  <si>
    <t>Задължения</t>
  </si>
  <si>
    <t>Изкупени собствени акции номинална стойност</t>
  </si>
  <si>
    <t>Облигационни заеми с отделно посочване на конвертируемите, в т. ч.:</t>
  </si>
  <si>
    <t>до 1 година</t>
  </si>
  <si>
    <t>над 1 година</t>
  </si>
  <si>
    <t>Отсрочени данъци</t>
  </si>
  <si>
    <t>Задължения към финансови предприятия, в т. ч.:</t>
  </si>
  <si>
    <t>Текущи (краткотрайни) активи</t>
  </si>
  <si>
    <t>Получени аванси, в т. ч.:</t>
  </si>
  <si>
    <t>Суровини и материали</t>
  </si>
  <si>
    <t>Незавършено производство</t>
  </si>
  <si>
    <t>Продукция и стоки, в т. ч.:</t>
  </si>
  <si>
    <t>Задължения към доставчици, в т. ч.:</t>
  </si>
  <si>
    <t>Задължения по полици, в т. ч.:</t>
  </si>
  <si>
    <t>Вземания</t>
  </si>
  <si>
    <t>Вземания от клиенти и доставчици, в т. ч.:</t>
  </si>
  <si>
    <t>Задължения към предприятия от група, в т. ч.:</t>
  </si>
  <si>
    <t>Вземания от предприятия от група, в т. ч.:</t>
  </si>
  <si>
    <t>Задължения, свързани с асоциирани и смесени предприятия, в т. ч.:</t>
  </si>
  <si>
    <t>Вземания, свързани с асоциирани и смесени предприятия, в т. ч.:</t>
  </si>
  <si>
    <t>Други вземания, в т. ч.:</t>
  </si>
  <si>
    <t>Други задължения, в. т. ч.:</t>
  </si>
  <si>
    <t>Инвестиции</t>
  </si>
  <si>
    <t>Акции и дяловев предприятия от група</t>
  </si>
  <si>
    <t>Други инвестиции</t>
  </si>
  <si>
    <t>Парични средства, в т. ч.:</t>
  </si>
  <si>
    <t>Разходи за бъдещи периоди</t>
  </si>
  <si>
    <t>Финансирания и приходи за бъдещи периоди, в т. ч.:</t>
  </si>
  <si>
    <t/>
  </si>
  <si>
    <t>Други задължения, в т.ч.:</t>
  </si>
  <si>
    <t>ЗА ПО-ДОБРА СИГУРНОСТ КЛЕТКИТЕ В КОИТО ИМА ФОРМУЛИ СА ЗАЩИТЕНИ  С (Protect Sheet),  - Няма парола  !</t>
  </si>
  <si>
    <t>Разходи за данъци</t>
  </si>
  <si>
    <t>Салдо в началото на отчетния период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</si>
  <si>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</si>
  <si>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</si>
  <si>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</si>
  <si>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собствениците, в т.ч.:</t>
  </si>
  <si>
    <t>Финансов резултат от текущия период</t>
  </si>
  <si>
    <t>Разпределние на печалба в т.ч.:</t>
  </si>
  <si>
    <t>Покриване на загуба</t>
  </si>
  <si>
    <t>Последващи оценки на активи и пасиви</t>
  </si>
  <si>
    <t>Други изменения в собствения капитал</t>
  </si>
  <si>
    <t xml:space="preserve"> Салдо към края на отчетния период</t>
  </si>
  <si>
    <t>Промени от преводи на годишни финансови отчети на предприятия в чужбина</t>
  </si>
  <si>
    <t>Собствен капитал към края на отчетния период</t>
  </si>
  <si>
    <t>Законови
резерви</t>
  </si>
  <si>
    <t>'</t>
  </si>
  <si>
    <t>"</t>
  </si>
  <si>
    <t>A.</t>
  </si>
  <si>
    <t xml:space="preserve">РАЗХОДИ </t>
  </si>
  <si>
    <t>Намаление на запасите от продукция и незавършено производство</t>
  </si>
  <si>
    <t>Разходи за суровини, материали и външни услуги в т.ч.:</t>
  </si>
  <si>
    <t>суровини и материали</t>
  </si>
  <si>
    <t>външни услуги</t>
  </si>
  <si>
    <t>Разходи за персонала, в т.ч.:</t>
  </si>
  <si>
    <t>разходи за възнаграждения</t>
  </si>
  <si>
    <t xml:space="preserve">разходи за осигуровки, в т.ч.: </t>
  </si>
  <si>
    <t>осигуровки свързани с пенсии</t>
  </si>
  <si>
    <t>Разходи за амортизация и обезценка, в т.ч.:</t>
  </si>
  <si>
    <t>разходи за амортизация и обезценка на дълготрайни материални и нематериални активи, в т.ч.: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</si>
  <si>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</si>
  <si>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</si>
  <si>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</si>
  <si>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разходи, в т.ч.:</t>
  </si>
  <si>
    <t>балансова стойност на продадени активи</t>
  </si>
  <si>
    <t>провизии</t>
  </si>
  <si>
    <t>Разходи от обезценка на финансови активи, включително инвестициите, признати като текущи (краткосрочни) активи, в т.ч:</t>
  </si>
  <si>
    <t>отрицателни разлики от промяна на валутни курсове</t>
  </si>
  <si>
    <t>Разходи за лихви и други финансови разходи, в т.ч.:</t>
  </si>
  <si>
    <t>Печалба от обичайната дейност</t>
  </si>
  <si>
    <t>Извънредни  разходи</t>
  </si>
  <si>
    <t>Счетоводна печалба (общо приходи – общо разходи)</t>
  </si>
  <si>
    <t>Печалба</t>
  </si>
  <si>
    <t>Нетни приходи от продажби в т.ч.:</t>
  </si>
  <si>
    <t>продукция</t>
  </si>
  <si>
    <t>стоки</t>
  </si>
  <si>
    <t>услуги</t>
  </si>
  <si>
    <t>Други приходи, в т.ч.:</t>
  </si>
  <si>
    <t>приходи от финасирания</t>
  </si>
  <si>
    <t>Приходи от участия в дъщерни, асоциирани и смесени предприятия, в т.ч.:</t>
  </si>
  <si>
    <t>приходи от участия в предприятия от група</t>
  </si>
  <si>
    <t>Приходи от други инвестиции, заеми, признати като нетекущи (дългосрочни) активи, в т.ч.:</t>
  </si>
  <si>
    <t>Други лихви и финансови приходи, в т.ч.:</t>
  </si>
  <si>
    <t>приходи от предприятия от група</t>
  </si>
  <si>
    <t>положителни разлики от операции с финансови инструменти</t>
  </si>
  <si>
    <t>положителни разлики от промяна на валутни курсове</t>
  </si>
  <si>
    <t>Загуба от обичайната дейност</t>
  </si>
  <si>
    <t>Извънредни приходи</t>
  </si>
  <si>
    <t>Счетоводна загуба (общо приходи – общо разходи)</t>
  </si>
  <si>
    <t xml:space="preserve">ПРИХОДИ </t>
  </si>
  <si>
    <t>Именение в отсрочените данъци</t>
  </si>
  <si>
    <t>РАЗДЕЛИ, ГРУПИ, СТАТИИ   </t>
  </si>
  <si>
    <t>земи</t>
  </si>
  <si>
    <t>сгради</t>
  </si>
  <si>
    <t>в брой</t>
  </si>
  <si>
    <t>в безсрочни сметки (депозити)</t>
  </si>
  <si>
    <t>отсрочни данъци</t>
  </si>
  <si>
    <t>неразпределена печалба</t>
  </si>
  <si>
    <t>непокрита загуба</t>
  </si>
  <si>
    <t>към персонала, в т.ч.:</t>
  </si>
  <si>
    <t>осигурителни задължения, в т. ч.:</t>
  </si>
  <si>
    <t>данъчни задължения, в т. ч.:</t>
  </si>
  <si>
    <t>финансирания</t>
  </si>
  <si>
    <t>приходи за бъдещи периоди</t>
  </si>
  <si>
    <t>КОРЕКТ ОДИТ ЕООД</t>
  </si>
  <si>
    <t>a</t>
  </si>
  <si>
    <t>ПРИ ПО-СТАРИТЕ ВЕРСИИ: 2003 И 97 ФАЙЛА ЩЕ ДАВА ГРЕШКИ В ИЗПЪЛНЕНИЕТО НА МАКРОСИТЕ</t>
  </si>
  <si>
    <t xml:space="preserve">СЛЕД КОЕТО ВИ СЪВЕТВАМЕ ОТНОВО ДА ЗАЩИТИТЕ ФОРМУЛИТЕ : Rewiew =&gt;Protect Sheet=&gt; "OK"
ВНИМАНИЕ : файлът съдържа макроси за целта проверете в настройките на Excel (2007,2010) дали сте разрешили използването им.
(File=&gt; Options=&gt;Trust Center=&gt;Trust Center Settings=&gt;Macro Settings=&gt; Enable all macros ) </t>
  </si>
  <si>
    <t>ЗА ДА РАБОТИТЕ КОРЕКТНО С ФАЙЛА ИЗПОЛЗВАЙТЕ ВЕРСИИ НА  МАЙКРОСОФТ ОФИС :  2007, 2010 ИЛИ ПО-ВИСОКИ</t>
  </si>
  <si>
    <t>Ф И Н А Н С О В  О Т Ч Е Т</t>
  </si>
  <si>
    <t>З А  Г О Д И Н А Т А  П Р И К Л Ю Ч В А Щ А  Н А</t>
  </si>
  <si>
    <t>С  Н Е З А В И С И М  О Д И Т О Р С К И  Д О К Л А Д</t>
  </si>
  <si>
    <t>ФИНАНСОВ ОДИТ, ДАНЪЧНИ И СЧЕТОВОДНИ КОНСУЛТАЦИИ
+359 (0)889 504 865
e-mail: vdbogdanov@yahoo.com
гр. Бургас, ул. Македония, № 89, ет.3  
Валентин Димитров Богданов  - д.е.с. и регистриран одитор
+359 (0)889 841 237
e-mail: krassimir_st@abv.bg
гр. Бургас, ул. Македония, № 89, ет.3 
Красимир Стоянов Стоянов  - помощник одитор
+359 (0)889 220 906
гр. Бургас, ул. Македония, № 89, ет.3    
Тони Иванов Петров  - помощник одитор</t>
  </si>
  <si>
    <t>I.</t>
  </si>
  <si>
    <t>II.</t>
  </si>
  <si>
    <t>1.</t>
  </si>
  <si>
    <t xml:space="preserve">Общо за група II. : </t>
  </si>
  <si>
    <t>-</t>
  </si>
  <si>
    <t>III.</t>
  </si>
  <si>
    <t>2.</t>
  </si>
  <si>
    <t>3.</t>
  </si>
  <si>
    <t xml:space="preserve">Общо за група III. : </t>
  </si>
  <si>
    <t>IV.</t>
  </si>
  <si>
    <t xml:space="preserve">Общо за група I. : </t>
  </si>
  <si>
    <t xml:space="preserve">ОБЩО ЗА РАЗДЕЛ A. : </t>
  </si>
  <si>
    <t xml:space="preserve">ОБЩО ЗА РАЗДЕЛ А. : </t>
  </si>
  <si>
    <t>4.</t>
  </si>
  <si>
    <t xml:space="preserve">ОБЩО ЗА РАЗДЕЛ Б. : </t>
  </si>
  <si>
    <t>a)</t>
  </si>
  <si>
    <t>б)</t>
  </si>
  <si>
    <t xml:space="preserve"> + 9</t>
  </si>
  <si>
    <t>гр. Хасково</t>
  </si>
  <si>
    <t>Резерв за доходи при пенсиониране</t>
  </si>
  <si>
    <t>Резерв при пенсиониране</t>
  </si>
  <si>
    <t xml:space="preserve">ОБЩО ЗА РАЗДЕЛ В., в т.ч. : </t>
  </si>
  <si>
    <t xml:space="preserve"> + 8</t>
  </si>
  <si>
    <t>Разходи за лихви</t>
  </si>
  <si>
    <t>други финансови разходи</t>
  </si>
  <si>
    <t>инж.Тодор  Райчев Марков</t>
  </si>
  <si>
    <t>Снежана  Петрова  Маркова</t>
  </si>
  <si>
    <t xml:space="preserve"> Снежана  Петрова  Маркова</t>
  </si>
  <si>
    <t>Главен счетоводител/Съставител :</t>
  </si>
  <si>
    <t>Управител:</t>
  </si>
  <si>
    <t xml:space="preserve"> от раздел А</t>
  </si>
  <si>
    <t xml:space="preserve"> + 10</t>
  </si>
  <si>
    <t>Всичко (общо разходи )  + 8 + 9 + 10</t>
  </si>
  <si>
    <t>Вземания от клиенти и доставчици</t>
  </si>
  <si>
    <t>Други вземания</t>
  </si>
  <si>
    <t>разходи за осигуровки</t>
  </si>
  <si>
    <t>Нетен
 поток</t>
  </si>
  <si>
    <t>Нетен 
поток</t>
  </si>
  <si>
    <t>Бел.№</t>
  </si>
  <si>
    <t>гр.Хасково</t>
  </si>
  <si>
    <t>Парични потоци от платени и възстановени данъци без КД</t>
  </si>
  <si>
    <t>ВОДОСНАБДЯВАНЕ И КАНАЛИЗАЦИЯ ЕООД</t>
  </si>
  <si>
    <t>Г О Д И Ш Е Н</t>
  </si>
  <si>
    <t>ГР.ХАСКОВО</t>
  </si>
  <si>
    <t>гр. Хасково, ул. Сакар, № 2, ЕИК по БУЛСТАТ 126004284</t>
  </si>
  <si>
    <t>16.03.2020 г.</t>
  </si>
  <si>
    <t>към 31.12.2019 г.</t>
  </si>
  <si>
    <t>за 2019 г.</t>
  </si>
  <si>
    <t>Дата на съставяне: 16.03.2020 г.</t>
  </si>
  <si>
    <t xml:space="preserve">        гр. Хасково, ул. Сакар, № 2, ЕИК по БУЛСТАТ 126004284</t>
  </si>
  <si>
    <t xml:space="preserve">  -</t>
  </si>
  <si>
    <t>Други приходи:</t>
  </si>
  <si>
    <t>Всичко (Общо приходи +ред 6)</t>
  </si>
  <si>
    <t>Разпределние на печалба</t>
  </si>
  <si>
    <t>Загуба (ред 5 от раздел Б+8+9 от раздел А)</t>
  </si>
  <si>
    <t>Изменение в отсрочените данъци</t>
  </si>
  <si>
    <t>Приложенията на страници от  5 до  39 са неразделна част от финансовия отчет.</t>
  </si>
  <si>
    <t>Финансовият отчет на страници от 1 до 39 е одобрен от Управителя и е подписан на 16.03.2020 г.</t>
  </si>
  <si>
    <t>Приложенията на страници от  5  до  39  са неразделна част от финансовия отчет.</t>
  </si>
  <si>
    <t>Приложенията на страници от 5 до 39 са неразделна част от финансовия отчет.</t>
  </si>
  <si>
    <t>Финансовият отчет на страници от  1 до 39 е одобрен от Управителя и е подписан на 16.03.2020 г.</t>
  </si>
  <si>
    <t>Приложенията на страници от  5 до 39 са неразделна част от финансовия отчет.</t>
  </si>
  <si>
    <t>Финансовият отчет на страници от  1 до 39  е одобрен от Управителя и е подписан на 16.03.2020 г.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</si>
</sst>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##0.00"/>
    <numFmt numFmtId="176" formatCode="_-* #,##0._л_в_-;\-* #,##0._л_в_-;_-* \-??\ _л_в_-;_-@_-"/>
    <numFmt numFmtId="177" formatCode="_-* #,##0.00\,_л_в_-;\-* #,##0.00\,_л_в_-;_-* \-??\ _л_в_-;_-@_-"/>
    <numFmt numFmtId="178" formatCode="_-* #,##0.00\ _-;\-* #,##0.00\ _-;_-* &quot;-&quot;??\ _л_в_-;_-@_-"/>
    <numFmt numFmtId="179" formatCode="_-* #,##0\ _-;\-* #,##0\ _-;_-* &quot;-&quot;??\ _л_в_-;_-@_-"/>
    <numFmt numFmtId="180" formatCode="_(*###0_);_(*###0\);_(*&quot;_&quot;??_);_(@_)"/>
    <numFmt numFmtId="181" formatCode="[$-402]dd\ mmmm\ yyyy\ &quot;г.&quot;"/>
    <numFmt numFmtId="182" formatCode="#,##0\ &quot;лв&quot;;\-#,##0,"/>
    <numFmt numFmtId="183" formatCode="_(* #,##0_);_(* \(#,##0\);_(* \-??_);_(@_)"/>
    <numFmt numFmtId="184" formatCode="_(* #,##0_);_(* \(#,##0\);_(* &quot;-&quot;_);_(@_)"/>
    <numFmt numFmtId="185" formatCode="yyyy__\г/"/>
    <numFmt numFmtId="186" formatCode="dd/mm/yyyy\ &quot;г.&quot;;@"/>
    <numFmt numFmtId="187" formatCode="yyyy\ &quot;г.&quot;;@"/>
    <numFmt numFmtId="188" formatCode="[$-402]dd\ mmmm\ yyyy\ &quot;г.&quot;;@"/>
    <numFmt numFmtId="189" formatCode="[$-402]dd\ mmmm\ yyyy;@"/>
    <numFmt numFmtId="190" formatCode="[$-402]dd\ mmmm;@"/>
    <numFmt numFmtId="191" formatCode="[$-402]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Red][&lt;0]\(#,##0\);#,##0"/>
    <numFmt numFmtId="197" formatCode="[&lt;0]\(#,##0\);#,##0"/>
    <numFmt numFmtId="198" formatCode="_ * #,##0_)&quot;?&quot;_ ;_ * \(#,##0\)&quot;?&quot;_ ;_ * &quot;-&quot;_)&quot;?&quot;_ ;_ @_ "/>
    <numFmt numFmtId="199" formatCode="_ * #,##0_)_?_ ;_ * \(#,##0\)_?_ ;_ * &quot;-&quot;_)_?_ ;_ @_ "/>
    <numFmt numFmtId="200" formatCode="0.000"/>
    <numFmt numFmtId="201" formatCode="_ * #,##0.00_)&quot;?&quot;_ ;_ * \(#,##0.00\)&quot;?&quot;_ ;_ * &quot;-&quot;??_)&quot;?&quot;_ ;_ @_ "/>
    <numFmt numFmtId="202" formatCode="_ * #,##0.00_)_?_ ;_ * \(#,##0.00\)_?_ ;_ * &quot;-&quot;??_)_?_ ;_ @_ "/>
    <numFmt numFmtId="203" formatCode="0.00000"/>
    <numFmt numFmtId="204" formatCode="#,##0.00\ &quot;F&quot;;[Red]\-#,##0.00\ &quot;F&quot;"/>
    <numFmt numFmtId="205" formatCode="_(* #,##0.0_);_(* \(#,##0.0\);_(* &quot;-&quot;??_);_(@_)"/>
    <numFmt numFmtId="206" formatCode="_(* #,##0_);_(* \(#,##0\);_(* &quot;-&quot;??_);_(@_)"/>
    <numFmt numFmtId="207" formatCode="\-"/>
    <numFmt numFmtId="208" formatCode="#,##0.00\ _л_в_."/>
    <numFmt numFmtId="209" formatCode="#,##0.000\ _л_в_."/>
    <numFmt numFmtId="210" formatCode="#,##0.0\ _л_в_."/>
    <numFmt numFmtId="211" formatCode="#,##0\ _л_в_."/>
    <numFmt numFmtId="212" formatCode="[&lt;0]\(#,##0.00\);#,##0.00"/>
    <numFmt numFmtId="213" formatCode="#,##0.0"/>
    <numFmt numFmtId="214" formatCode="[&lt;0]\(#,##0.000\);#,##0.000"/>
    <numFmt numFmtId="215" formatCode="[&lt;0]\(#,##0.0000\);#,##0.0000"/>
    <numFmt numFmtId="216" formatCode="#,##0.000"/>
    <numFmt numFmtId="217" formatCode="#,##0.0000"/>
  </numFmts>
  <fonts count="146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i/>
      <u val="single"/>
      <sz val="11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4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4"/>
      <color indexed="8"/>
      <name val="Times New Roman"/>
      <family val="1"/>
    </font>
    <font>
      <b/>
      <sz val="9"/>
      <name val="Tahoma"/>
      <family val="2"/>
    </font>
    <font>
      <b/>
      <sz val="36"/>
      <color indexed="22"/>
      <name val="Webdings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9"/>
      <name val="Tahoma"/>
      <family val="2"/>
    </font>
    <font>
      <sz val="10"/>
      <name val="Times New Roman Cyr"/>
      <family val="0"/>
    </font>
    <font>
      <b/>
      <i/>
      <sz val="16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OpalB"/>
      <family val="0"/>
    </font>
    <font>
      <b/>
      <sz val="14"/>
      <color indexed="8"/>
      <name val="Times New Roman"/>
      <family val="1"/>
    </font>
    <font>
      <b/>
      <i/>
      <sz val="12"/>
      <name val="Arial"/>
      <family val="2"/>
    </font>
    <font>
      <sz val="14"/>
      <name val="Arial"/>
      <family val="2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36"/>
      <name val="Times New Roman"/>
      <family val="1"/>
    </font>
    <font>
      <b/>
      <i/>
      <sz val="28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sz val="10"/>
      <color indexed="22"/>
      <name val="Times New Roman"/>
      <family val="1"/>
    </font>
    <font>
      <i/>
      <sz val="10"/>
      <color indexed="10"/>
      <name val="Times New Roman"/>
      <family val="1"/>
    </font>
    <font>
      <b/>
      <i/>
      <sz val="22"/>
      <color indexed="63"/>
      <name val="Times New Roman"/>
      <family val="1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color indexed="22"/>
      <name val="Times New Roman"/>
      <family val="1"/>
    </font>
    <font>
      <i/>
      <sz val="10"/>
      <color indexed="22"/>
      <name val="Times New Roman"/>
      <family val="1"/>
    </font>
    <font>
      <sz val="11"/>
      <color indexed="22"/>
      <name val="Times New Roman"/>
      <family val="1"/>
    </font>
    <font>
      <sz val="10"/>
      <color indexed="62"/>
      <name val="Times New Roman"/>
      <family val="1"/>
    </font>
    <font>
      <u val="single"/>
      <sz val="10"/>
      <color indexed="63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22"/>
      <name val="Times New Roman"/>
      <family val="1"/>
    </font>
    <font>
      <b/>
      <i/>
      <sz val="11"/>
      <color indexed="22"/>
      <name val="Times New Roman"/>
      <family val="1"/>
    </font>
    <font>
      <i/>
      <sz val="11"/>
      <color indexed="10"/>
      <name val="Times New Roman"/>
      <family val="1"/>
    </font>
    <font>
      <i/>
      <sz val="13"/>
      <color indexed="22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color indexed="22"/>
      <name val="Arial"/>
      <family val="2"/>
    </font>
    <font>
      <i/>
      <sz val="10"/>
      <color indexed="22"/>
      <name val="Arial"/>
      <family val="2"/>
    </font>
    <font>
      <b/>
      <i/>
      <sz val="2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theme="0"/>
      <name val="Times New Roman"/>
      <family val="1"/>
    </font>
    <font>
      <i/>
      <sz val="10"/>
      <color rgb="FFFF0000"/>
      <name val="Times New Roman"/>
      <family val="1"/>
    </font>
    <font>
      <b/>
      <i/>
      <sz val="22"/>
      <color theme="1" tint="0.34999001026153564"/>
      <name val="Times New Roman"/>
      <family val="1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sz val="10"/>
      <color theme="4" tint="-0.24997000396251678"/>
      <name val="Times New Roman"/>
      <family val="1"/>
    </font>
    <font>
      <u val="single"/>
      <sz val="10"/>
      <color theme="1" tint="0.24998000264167786"/>
      <name val="Arial"/>
      <family val="2"/>
    </font>
    <font>
      <b/>
      <i/>
      <sz val="10"/>
      <color rgb="FFC00000"/>
      <name val="Arial"/>
      <family val="2"/>
    </font>
    <font>
      <i/>
      <sz val="10"/>
      <color rgb="FFC00000"/>
      <name val="Arial"/>
      <family val="2"/>
    </font>
    <font>
      <sz val="10"/>
      <color theme="4" tint="0.7999799847602844"/>
      <name val="Times New Roman"/>
      <family val="1"/>
    </font>
    <font>
      <b/>
      <sz val="10"/>
      <color theme="4" tint="0.7999799847602844"/>
      <name val="Times New Roman"/>
      <family val="1"/>
    </font>
    <font>
      <sz val="11"/>
      <color theme="4" tint="0.7999799847602844"/>
      <name val="Times New Roman"/>
      <family val="1"/>
    </font>
    <font>
      <b/>
      <i/>
      <sz val="11"/>
      <color theme="4" tint="0.7999799847602844"/>
      <name val="Times New Roman"/>
      <family val="1"/>
    </font>
    <font>
      <i/>
      <sz val="11"/>
      <color rgb="FFFF0000"/>
      <name val="Times New Roman"/>
      <family val="1"/>
    </font>
    <font>
      <i/>
      <sz val="13"/>
      <color theme="0"/>
      <name val="Times New Roman"/>
      <family val="1"/>
    </font>
    <font>
      <b/>
      <sz val="10"/>
      <color rgb="FFFF0000"/>
      <name val="Times New Roman"/>
      <family val="1"/>
    </font>
    <font>
      <b/>
      <i/>
      <sz val="14"/>
      <color theme="0"/>
      <name val="Arial"/>
      <family val="2"/>
    </font>
    <font>
      <i/>
      <sz val="10"/>
      <color theme="0"/>
      <name val="Arial"/>
      <family val="2"/>
    </font>
    <font>
      <b/>
      <i/>
      <sz val="2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200" fontId="49" fillId="0" borderId="0" applyFill="0" applyBorder="0" applyAlignment="0">
      <protection/>
    </xf>
    <xf numFmtId="201" fontId="0" fillId="0" borderId="0" applyFill="0" applyBorder="0" applyAlignment="0">
      <protection/>
    </xf>
    <xf numFmtId="202" fontId="0" fillId="0" borderId="0" applyFill="0" applyBorder="0" applyAlignment="0">
      <protection/>
    </xf>
    <xf numFmtId="198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4" fillId="2" borderId="1" applyNumberFormat="0" applyAlignment="0" applyProtection="0"/>
    <xf numFmtId="0" fontId="5" fillId="15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98" fontId="0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99" fontId="0" fillId="0" borderId="0" applyFont="0" applyFill="0" applyBorder="0" applyAlignment="0" applyProtection="0"/>
    <xf numFmtId="14" fontId="62" fillId="0" borderId="0" applyFill="0" applyBorder="0" applyAlignment="0">
      <protection/>
    </xf>
    <xf numFmtId="204" fontId="0" fillId="0" borderId="3">
      <alignment vertical="center"/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198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63" fillId="0" borderId="4" applyNumberFormat="0" applyAlignment="0" applyProtection="0"/>
    <xf numFmtId="0" fontId="63" fillId="0" borderId="5">
      <alignment horizontal="left" vertical="center"/>
      <protection/>
    </xf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198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12" fillId="0" borderId="9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14" fillId="0" borderId="0">
      <alignment/>
      <protection/>
    </xf>
    <xf numFmtId="0" fontId="0" fillId="4" borderId="10" applyNumberFormat="0" applyAlignment="0" applyProtection="0"/>
    <xf numFmtId="0" fontId="15" fillId="2" borderId="11" applyNumberFormat="0" applyAlignment="0" applyProtection="0"/>
    <xf numFmtId="9" fontId="0" fillId="0" borderId="0" applyFill="0" applyBorder="0" applyAlignment="0" applyProtection="0"/>
    <xf numFmtId="20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198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" fontId="0" fillId="0" borderId="0" applyFont="0" applyFill="0" applyBorder="0" applyAlignment="0" applyProtection="0"/>
    <xf numFmtId="49" fontId="62" fillId="0" borderId="0" applyFill="0" applyBorder="0" applyAlignment="0">
      <protection/>
    </xf>
    <xf numFmtId="205" fontId="0" fillId="0" borderId="0" applyFill="0" applyBorder="0" applyAlignment="0">
      <protection/>
    </xf>
    <xf numFmtId="206" fontId="0" fillId="0" borderId="0" applyFill="0" applyBorder="0" applyAlignment="0">
      <protection/>
    </xf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2" fillId="0" borderId="0" xfId="0" applyFont="1" applyAlignment="1">
      <alignment/>
    </xf>
    <xf numFmtId="0" fontId="31" fillId="0" borderId="0" xfId="72" applyNumberFormat="1" applyFont="1" applyFill="1" applyBorder="1" applyAlignment="1" applyProtection="1">
      <alignment/>
      <protection/>
    </xf>
    <xf numFmtId="0" fontId="50" fillId="0" borderId="0" xfId="72" applyNumberFormat="1" applyFont="1" applyFill="1" applyBorder="1" applyAlignment="1" applyProtection="1">
      <alignment/>
      <protection/>
    </xf>
    <xf numFmtId="0" fontId="35" fillId="0" borderId="0" xfId="72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6" fillId="17" borderId="0" xfId="0" applyFont="1" applyFill="1" applyBorder="1" applyAlignment="1" applyProtection="1">
      <alignment/>
      <protection/>
    </xf>
    <xf numFmtId="0" fontId="37" fillId="17" borderId="0" xfId="0" applyFont="1" applyFill="1" applyBorder="1" applyAlignment="1" applyProtection="1">
      <alignment/>
      <protection/>
    </xf>
    <xf numFmtId="0" fontId="21" fillId="17" borderId="13" xfId="0" applyFont="1" applyFill="1" applyBorder="1" applyAlignment="1" applyProtection="1">
      <alignment/>
      <protection locked="0"/>
    </xf>
    <xf numFmtId="0" fontId="21" fillId="17" borderId="0" xfId="0" applyFont="1" applyFill="1" applyBorder="1" applyAlignment="1" applyProtection="1">
      <alignment/>
      <protection/>
    </xf>
    <xf numFmtId="0" fontId="28" fillId="17" borderId="0" xfId="0" applyFont="1" applyFill="1" applyBorder="1" applyAlignment="1" applyProtection="1">
      <alignment/>
      <protection/>
    </xf>
    <xf numFmtId="183" fontId="22" fillId="17" borderId="0" xfId="0" applyNumberFormat="1" applyFont="1" applyFill="1" applyBorder="1" applyAlignment="1" applyProtection="1">
      <alignment/>
      <protection/>
    </xf>
    <xf numFmtId="0" fontId="30" fillId="17" borderId="0" xfId="0" applyFont="1" applyFill="1" applyBorder="1" applyAlignment="1" applyProtection="1">
      <alignment/>
      <protection/>
    </xf>
    <xf numFmtId="0" fontId="30" fillId="17" borderId="0" xfId="0" applyFont="1" applyFill="1" applyBorder="1" applyAlignment="1" applyProtection="1">
      <alignment/>
      <protection/>
    </xf>
    <xf numFmtId="0" fontId="34" fillId="17" borderId="0" xfId="0" applyFont="1" applyFill="1" applyBorder="1" applyAlignment="1" applyProtection="1">
      <alignment/>
      <protection/>
    </xf>
    <xf numFmtId="0" fontId="37" fillId="17" borderId="0" xfId="0" applyFont="1" applyFill="1" applyBorder="1" applyAlignment="1" applyProtection="1">
      <alignment/>
      <protection/>
    </xf>
    <xf numFmtId="0" fontId="21" fillId="17" borderId="0" xfId="0" applyFont="1" applyFill="1" applyBorder="1" applyAlignment="1" applyProtection="1">
      <alignment/>
      <protection/>
    </xf>
    <xf numFmtId="0" fontId="23" fillId="17" borderId="13" xfId="0" applyFont="1" applyFill="1" applyBorder="1" applyAlignment="1" applyProtection="1">
      <alignment/>
      <protection locked="0"/>
    </xf>
    <xf numFmtId="183" fontId="25" fillId="17" borderId="13" xfId="0" applyNumberFormat="1" applyFont="1" applyFill="1" applyBorder="1" applyAlignment="1" applyProtection="1">
      <alignment horizontal="center"/>
      <protection locked="0"/>
    </xf>
    <xf numFmtId="0" fontId="24" fillId="17" borderId="0" xfId="0" applyFont="1" applyFill="1" applyBorder="1" applyAlignment="1" applyProtection="1">
      <alignment/>
      <protection/>
    </xf>
    <xf numFmtId="0" fontId="24" fillId="17" borderId="0" xfId="0" applyFont="1" applyFill="1" applyBorder="1" applyAlignment="1" applyProtection="1">
      <alignment horizontal="left"/>
      <protection/>
    </xf>
    <xf numFmtId="0" fontId="24" fillId="17" borderId="0" xfId="0" applyFont="1" applyFill="1" applyBorder="1" applyAlignment="1" applyProtection="1">
      <alignment horizontal="right"/>
      <protection/>
    </xf>
    <xf numFmtId="0" fontId="28" fillId="17" borderId="14" xfId="0" applyFont="1" applyFill="1" applyBorder="1" applyAlignment="1" applyProtection="1">
      <alignment wrapText="1"/>
      <protection locked="0"/>
    </xf>
    <xf numFmtId="0" fontId="23" fillId="17" borderId="14" xfId="0" applyFont="1" applyFill="1" applyBorder="1" applyAlignment="1" applyProtection="1">
      <alignment/>
      <protection locked="0"/>
    </xf>
    <xf numFmtId="0" fontId="41" fillId="17" borderId="0" xfId="0" applyFont="1" applyFill="1" applyBorder="1" applyAlignment="1" applyProtection="1">
      <alignment/>
      <protection/>
    </xf>
    <xf numFmtId="0" fontId="42" fillId="17" borderId="0" xfId="0" applyFont="1" applyFill="1" applyBorder="1" applyAlignment="1" applyProtection="1">
      <alignment/>
      <protection/>
    </xf>
    <xf numFmtId="0" fontId="25" fillId="17" borderId="0" xfId="0" applyFont="1" applyFill="1" applyBorder="1" applyAlignment="1" applyProtection="1">
      <alignment/>
      <protection/>
    </xf>
    <xf numFmtId="0" fontId="25" fillId="17" borderId="15" xfId="0" applyFont="1" applyFill="1" applyBorder="1" applyAlignment="1" applyProtection="1">
      <alignment horizontal="center"/>
      <protection/>
    </xf>
    <xf numFmtId="0" fontId="25" fillId="17" borderId="0" xfId="0" applyFont="1" applyFill="1" applyBorder="1" applyAlignment="1" applyProtection="1">
      <alignment horizontal="center"/>
      <protection/>
    </xf>
    <xf numFmtId="183" fontId="23" fillId="17" borderId="13" xfId="0" applyNumberFormat="1" applyFont="1" applyFill="1" applyBorder="1" applyAlignment="1" applyProtection="1">
      <alignment horizontal="center"/>
      <protection locked="0"/>
    </xf>
    <xf numFmtId="183" fontId="24" fillId="17" borderId="13" xfId="0" applyNumberFormat="1" applyFont="1" applyFill="1" applyBorder="1" applyAlignment="1" applyProtection="1">
      <alignment horizontal="center"/>
      <protection/>
    </xf>
    <xf numFmtId="183" fontId="24" fillId="17" borderId="13" xfId="0" applyNumberFormat="1" applyFont="1" applyFill="1" applyBorder="1" applyAlignment="1" applyProtection="1">
      <alignment horizontal="center"/>
      <protection locked="0"/>
    </xf>
    <xf numFmtId="183" fontId="34" fillId="17" borderId="13" xfId="0" applyNumberFormat="1" applyFont="1" applyFill="1" applyBorder="1" applyAlignment="1" applyProtection="1">
      <alignment horizontal="center"/>
      <protection locked="0"/>
    </xf>
    <xf numFmtId="183" fontId="23" fillId="17" borderId="13" xfId="0" applyNumberFormat="1" applyFont="1" applyFill="1" applyBorder="1" applyAlignment="1" applyProtection="1">
      <alignment horizontal="center"/>
      <protection/>
    </xf>
    <xf numFmtId="37" fontId="46" fillId="17" borderId="0" xfId="0" applyNumberFormat="1" applyFont="1" applyFill="1" applyBorder="1" applyAlignment="1" applyProtection="1">
      <alignment/>
      <protection/>
    </xf>
    <xf numFmtId="0" fontId="46" fillId="17" borderId="0" xfId="0" applyFont="1" applyFill="1" applyBorder="1" applyAlignment="1" applyProtection="1">
      <alignment/>
      <protection/>
    </xf>
    <xf numFmtId="1" fontId="21" fillId="17" borderId="0" xfId="0" applyNumberFormat="1" applyFont="1" applyFill="1" applyBorder="1" applyAlignment="1" applyProtection="1">
      <alignment/>
      <protection/>
    </xf>
    <xf numFmtId="0" fontId="118" fillId="17" borderId="0" xfId="0" applyFont="1" applyFill="1" applyBorder="1" applyAlignment="1" applyProtection="1">
      <alignment/>
      <protection/>
    </xf>
    <xf numFmtId="0" fontId="119" fillId="17" borderId="0" xfId="0" applyFont="1" applyFill="1" applyBorder="1" applyAlignment="1" applyProtection="1">
      <alignment/>
      <protection/>
    </xf>
    <xf numFmtId="0" fontId="30" fillId="17" borderId="0" xfId="0" applyFont="1" applyFill="1" applyBorder="1" applyAlignment="1" applyProtection="1">
      <alignment horizontal="left"/>
      <protection/>
    </xf>
    <xf numFmtId="0" fontId="34" fillId="17" borderId="0" xfId="0" applyFont="1" applyFill="1" applyBorder="1" applyAlignment="1" applyProtection="1">
      <alignment horizontal="left"/>
      <protection/>
    </xf>
    <xf numFmtId="0" fontId="56" fillId="17" borderId="0" xfId="0" applyFont="1" applyFill="1" applyAlignment="1">
      <alignment/>
    </xf>
    <xf numFmtId="0" fontId="56" fillId="17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120" fillId="18" borderId="0" xfId="0" applyFont="1" applyFill="1" applyAlignment="1" applyProtection="1">
      <alignment vertical="center"/>
      <protection/>
    </xf>
    <xf numFmtId="0" fontId="121" fillId="18" borderId="0" xfId="0" applyFont="1" applyFill="1" applyAlignment="1" applyProtection="1">
      <alignment/>
      <protection/>
    </xf>
    <xf numFmtId="0" fontId="122" fillId="18" borderId="0" xfId="0" applyFont="1" applyFill="1" applyAlignment="1" applyProtection="1">
      <alignment/>
      <protection/>
    </xf>
    <xf numFmtId="0" fontId="121" fillId="18" borderId="13" xfId="0" applyFont="1" applyFill="1" applyBorder="1" applyAlignment="1" applyProtection="1">
      <alignment/>
      <protection locked="0"/>
    </xf>
    <xf numFmtId="3" fontId="121" fillId="18" borderId="13" xfId="0" applyNumberFormat="1" applyFont="1" applyFill="1" applyBorder="1" applyAlignment="1" applyProtection="1">
      <alignment horizontal="left"/>
      <protection locked="0"/>
    </xf>
    <xf numFmtId="186" fontId="121" fillId="18" borderId="13" xfId="0" applyNumberFormat="1" applyFont="1" applyFill="1" applyBorder="1" applyAlignment="1" applyProtection="1">
      <alignment horizontal="left"/>
      <protection locked="0"/>
    </xf>
    <xf numFmtId="0" fontId="123" fillId="18" borderId="13" xfId="0" applyFont="1" applyFill="1" applyBorder="1" applyAlignment="1" applyProtection="1">
      <alignment/>
      <protection locked="0"/>
    </xf>
    <xf numFmtId="1" fontId="124" fillId="17" borderId="0" xfId="0" applyNumberFormat="1" applyFont="1" applyFill="1" applyBorder="1" applyAlignment="1" applyProtection="1">
      <alignment horizontal="right"/>
      <protection/>
    </xf>
    <xf numFmtId="0" fontId="21" fillId="17" borderId="13" xfId="0" applyFont="1" applyFill="1" applyBorder="1" applyAlignment="1" applyProtection="1">
      <alignment horizontal="center"/>
      <protection/>
    </xf>
    <xf numFmtId="183" fontId="24" fillId="19" borderId="13" xfId="0" applyNumberFormat="1" applyFont="1" applyFill="1" applyBorder="1" applyAlignment="1" applyProtection="1">
      <alignment/>
      <protection locked="0"/>
    </xf>
    <xf numFmtId="196" fontId="21" fillId="17" borderId="13" xfId="0" applyNumberFormat="1" applyFont="1" applyFill="1" applyBorder="1" applyAlignment="1" applyProtection="1">
      <alignment horizontal="right" wrapText="1"/>
      <protection locked="0"/>
    </xf>
    <xf numFmtId="196" fontId="21" fillId="17" borderId="13" xfId="0" applyNumberFormat="1" applyFont="1" applyFill="1" applyBorder="1" applyAlignment="1" applyProtection="1">
      <alignment/>
      <protection locked="0"/>
    </xf>
    <xf numFmtId="196" fontId="43" fillId="17" borderId="13" xfId="0" applyNumberFormat="1" applyFont="1" applyFill="1" applyBorder="1" applyAlignment="1" applyProtection="1">
      <alignment/>
      <protection locked="0"/>
    </xf>
    <xf numFmtId="0" fontId="36" fillId="17" borderId="0" xfId="0" applyFont="1" applyFill="1" applyBorder="1" applyAlignment="1" applyProtection="1">
      <alignment/>
      <protection/>
    </xf>
    <xf numFmtId="0" fontId="32" fillId="17" borderId="0" xfId="0" applyFont="1" applyFill="1" applyBorder="1" applyAlignment="1" applyProtection="1">
      <alignment horizontal="right"/>
      <protection/>
    </xf>
    <xf numFmtId="0" fontId="124" fillId="17" borderId="0" xfId="0" applyFont="1" applyFill="1" applyBorder="1" applyAlignment="1" applyProtection="1">
      <alignment horizontal="right"/>
      <protection/>
    </xf>
    <xf numFmtId="0" fontId="33" fillId="17" borderId="0" xfId="0" applyFont="1" applyFill="1" applyBorder="1" applyAlignment="1" applyProtection="1">
      <alignment horizontal="right"/>
      <protection/>
    </xf>
    <xf numFmtId="0" fontId="32" fillId="17" borderId="5" xfId="0" applyFont="1" applyFill="1" applyBorder="1" applyAlignment="1" applyProtection="1">
      <alignment horizontal="right"/>
      <protection/>
    </xf>
    <xf numFmtId="0" fontId="125" fillId="17" borderId="0" xfId="0" applyFont="1" applyFill="1" applyBorder="1" applyAlignment="1" applyProtection="1">
      <alignment horizontal="right"/>
      <protection/>
    </xf>
    <xf numFmtId="0" fontId="23" fillId="17" borderId="16" xfId="0" applyFont="1" applyFill="1" applyBorder="1" applyAlignment="1" applyProtection="1">
      <alignment horizontal="right"/>
      <protection/>
    </xf>
    <xf numFmtId="0" fontId="21" fillId="17" borderId="16" xfId="0" applyFont="1" applyFill="1" applyBorder="1" applyAlignment="1" applyProtection="1">
      <alignment horizontal="right"/>
      <protection/>
    </xf>
    <xf numFmtId="0" fontId="23" fillId="17" borderId="16" xfId="0" applyFont="1" applyFill="1" applyBorder="1" applyAlignment="1" applyProtection="1">
      <alignment horizontal="right" wrapText="1"/>
      <protection/>
    </xf>
    <xf numFmtId="0" fontId="126" fillId="17" borderId="0" xfId="0" applyFont="1" applyFill="1" applyBorder="1" applyAlignment="1" applyProtection="1">
      <alignment/>
      <protection/>
    </xf>
    <xf numFmtId="0" fontId="32" fillId="17" borderId="0" xfId="0" applyFont="1" applyFill="1" applyBorder="1" applyAlignment="1" applyProtection="1">
      <alignment/>
      <protection/>
    </xf>
    <xf numFmtId="0" fontId="28" fillId="17" borderId="13" xfId="0" applyFont="1" applyFill="1" applyBorder="1" applyAlignment="1" applyProtection="1">
      <alignment horizontal="right"/>
      <protection/>
    </xf>
    <xf numFmtId="0" fontId="23" fillId="17" borderId="13" xfId="0" applyFont="1" applyFill="1" applyBorder="1" applyAlignment="1" applyProtection="1">
      <alignment horizontal="right"/>
      <protection/>
    </xf>
    <xf numFmtId="0" fontId="21" fillId="17" borderId="5" xfId="0" applyFont="1" applyFill="1" applyBorder="1" applyAlignment="1" applyProtection="1">
      <alignment/>
      <protection/>
    </xf>
    <xf numFmtId="0" fontId="33" fillId="17" borderId="16" xfId="0" applyFont="1" applyFill="1" applyBorder="1" applyAlignment="1" applyProtection="1">
      <alignment horizontal="right"/>
      <protection/>
    </xf>
    <xf numFmtId="0" fontId="127" fillId="17" borderId="5" xfId="0" applyFont="1" applyFill="1" applyBorder="1" applyAlignment="1" applyProtection="1">
      <alignment/>
      <protection/>
    </xf>
    <xf numFmtId="0" fontId="25" fillId="17" borderId="17" xfId="0" applyFont="1" applyFill="1" applyBorder="1" applyAlignment="1" applyProtection="1">
      <alignment horizontal="center"/>
      <protection/>
    </xf>
    <xf numFmtId="183" fontId="23" fillId="17" borderId="14" xfId="0" applyNumberFormat="1" applyFont="1" applyFill="1" applyBorder="1" applyAlignment="1" applyProtection="1">
      <alignment horizontal="center"/>
      <protection locked="0"/>
    </xf>
    <xf numFmtId="183" fontId="24" fillId="17" borderId="14" xfId="0" applyNumberFormat="1" applyFont="1" applyFill="1" applyBorder="1" applyAlignment="1" applyProtection="1">
      <alignment horizontal="center"/>
      <protection/>
    </xf>
    <xf numFmtId="183" fontId="24" fillId="17" borderId="14" xfId="0" applyNumberFormat="1" applyFont="1" applyFill="1" applyBorder="1" applyAlignment="1" applyProtection="1">
      <alignment horizontal="center"/>
      <protection locked="0"/>
    </xf>
    <xf numFmtId="183" fontId="34" fillId="17" borderId="14" xfId="0" applyNumberFormat="1" applyFont="1" applyFill="1" applyBorder="1" applyAlignment="1" applyProtection="1">
      <alignment horizontal="center"/>
      <protection locked="0"/>
    </xf>
    <xf numFmtId="0" fontId="28" fillId="17" borderId="14" xfId="0" applyFont="1" applyFill="1" applyBorder="1" applyAlignment="1" applyProtection="1">
      <alignment/>
      <protection locked="0"/>
    </xf>
    <xf numFmtId="0" fontId="23" fillId="17" borderId="14" xfId="0" applyFont="1" applyFill="1" applyBorder="1" applyAlignment="1" applyProtection="1">
      <alignment wrapText="1"/>
      <protection locked="0"/>
    </xf>
    <xf numFmtId="0" fontId="26" fillId="17" borderId="14" xfId="0" applyFont="1" applyFill="1" applyBorder="1" applyAlignment="1" applyProtection="1">
      <alignment/>
      <protection locked="0"/>
    </xf>
    <xf numFmtId="0" fontId="26" fillId="17" borderId="14" xfId="0" applyFont="1" applyFill="1" applyBorder="1" applyAlignment="1" applyProtection="1">
      <alignment wrapText="1"/>
      <protection locked="0"/>
    </xf>
    <xf numFmtId="0" fontId="21" fillId="17" borderId="18" xfId="0" applyFont="1" applyFill="1" applyBorder="1" applyAlignment="1" applyProtection="1">
      <alignment/>
      <protection/>
    </xf>
    <xf numFmtId="0" fontId="21" fillId="17" borderId="19" xfId="0" applyFont="1" applyFill="1" applyBorder="1" applyAlignment="1" applyProtection="1">
      <alignment/>
      <protection/>
    </xf>
    <xf numFmtId="183" fontId="23" fillId="17" borderId="20" xfId="0" applyNumberFormat="1" applyFont="1" applyFill="1" applyBorder="1" applyAlignment="1" applyProtection="1">
      <alignment/>
      <protection locked="0"/>
    </xf>
    <xf numFmtId="0" fontId="33" fillId="17" borderId="16" xfId="0" applyFont="1" applyFill="1" applyBorder="1" applyAlignment="1" applyProtection="1">
      <alignment horizontal="right" vertical="top"/>
      <protection/>
    </xf>
    <xf numFmtId="183" fontId="23" fillId="17" borderId="21" xfId="0" applyNumberFormat="1" applyFont="1" applyFill="1" applyBorder="1" applyAlignment="1" applyProtection="1">
      <alignment/>
      <protection locked="0"/>
    </xf>
    <xf numFmtId="183" fontId="25" fillId="17" borderId="14" xfId="0" applyNumberFormat="1" applyFont="1" applyFill="1" applyBorder="1" applyAlignment="1" applyProtection="1">
      <alignment horizontal="center"/>
      <protection locked="0"/>
    </xf>
    <xf numFmtId="183" fontId="23" fillId="17" borderId="14" xfId="0" applyNumberFormat="1" applyFont="1" applyFill="1" applyBorder="1" applyAlignment="1" applyProtection="1">
      <alignment horizontal="center"/>
      <protection/>
    </xf>
    <xf numFmtId="0" fontId="25" fillId="17" borderId="5" xfId="0" applyFont="1" applyFill="1" applyBorder="1" applyAlignment="1" applyProtection="1">
      <alignment/>
      <protection/>
    </xf>
    <xf numFmtId="0" fontId="28" fillId="17" borderId="14" xfId="0" applyFont="1" applyFill="1" applyBorder="1" applyAlignment="1" applyProtection="1">
      <alignment vertical="center" wrapText="1"/>
      <protection locked="0"/>
    </xf>
    <xf numFmtId="0" fontId="25" fillId="17" borderId="14" xfId="0" applyFont="1" applyFill="1" applyBorder="1" applyAlignment="1" applyProtection="1">
      <alignment/>
      <protection locked="0"/>
    </xf>
    <xf numFmtId="0" fontId="36" fillId="17" borderId="14" xfId="0" applyFont="1" applyFill="1" applyBorder="1" applyAlignment="1" applyProtection="1">
      <alignment/>
      <protection locked="0"/>
    </xf>
    <xf numFmtId="0" fontId="25" fillId="17" borderId="18" xfId="0" applyFont="1" applyFill="1" applyBorder="1" applyAlignment="1" applyProtection="1">
      <alignment horizontal="center"/>
      <protection/>
    </xf>
    <xf numFmtId="183" fontId="30" fillId="17" borderId="14" xfId="72" applyNumberFormat="1" applyFont="1" applyFill="1" applyBorder="1" applyAlignment="1" applyProtection="1">
      <alignment horizontal="center"/>
      <protection/>
    </xf>
    <xf numFmtId="183" fontId="30" fillId="17" borderId="13" xfId="72" applyNumberFormat="1" applyFont="1" applyFill="1" applyBorder="1" applyAlignment="1" applyProtection="1">
      <alignment horizontal="center"/>
      <protection/>
    </xf>
    <xf numFmtId="0" fontId="21" fillId="17" borderId="5" xfId="0" applyFont="1" applyFill="1" applyBorder="1" applyAlignment="1" applyProtection="1">
      <alignment vertical="top"/>
      <protection/>
    </xf>
    <xf numFmtId="0" fontId="28" fillId="17" borderId="14" xfId="0" applyFont="1" applyFill="1" applyBorder="1" applyAlignment="1" applyProtection="1">
      <alignment vertical="top" wrapText="1"/>
      <protection locked="0"/>
    </xf>
    <xf numFmtId="0" fontId="128" fillId="17" borderId="22" xfId="0" applyFont="1" applyFill="1" applyBorder="1" applyAlignment="1" applyProtection="1">
      <alignment horizontal="center"/>
      <protection/>
    </xf>
    <xf numFmtId="0" fontId="33" fillId="17" borderId="16" xfId="0" applyNumberFormat="1" applyFont="1" applyFill="1" applyBorder="1" applyAlignment="1" applyProtection="1">
      <alignment horizontal="right" vertical="top"/>
      <protection/>
    </xf>
    <xf numFmtId="0" fontId="23" fillId="17" borderId="14" xfId="0" applyFont="1" applyFill="1" applyBorder="1" applyAlignment="1" applyProtection="1">
      <alignment/>
      <protection locked="0"/>
    </xf>
    <xf numFmtId="0" fontId="21" fillId="17" borderId="16" xfId="0" applyNumberFormat="1" applyFont="1" applyFill="1" applyBorder="1" applyAlignment="1" applyProtection="1">
      <alignment horizontal="right"/>
      <protection/>
    </xf>
    <xf numFmtId="0" fontId="41" fillId="17" borderId="0" xfId="0" applyFont="1" applyFill="1" applyBorder="1" applyAlignment="1" applyProtection="1">
      <alignment horizontal="right"/>
      <protection/>
    </xf>
    <xf numFmtId="0" fontId="118" fillId="17" borderId="22" xfId="0" applyFont="1" applyFill="1" applyBorder="1" applyAlignment="1" applyProtection="1">
      <alignment horizontal="right"/>
      <protection/>
    </xf>
    <xf numFmtId="0" fontId="21" fillId="17" borderId="0" xfId="0" applyFont="1" applyFill="1" applyBorder="1" applyAlignment="1" applyProtection="1">
      <alignment horizontal="right"/>
      <protection/>
    </xf>
    <xf numFmtId="0" fontId="30" fillId="17" borderId="0" xfId="0" applyFont="1" applyFill="1" applyBorder="1" applyAlignment="1" applyProtection="1">
      <alignment horizontal="right"/>
      <protection/>
    </xf>
    <xf numFmtId="0" fontId="42" fillId="17" borderId="0" xfId="0" applyFont="1" applyFill="1" applyBorder="1" applyAlignment="1" applyProtection="1">
      <alignment/>
      <protection/>
    </xf>
    <xf numFmtId="0" fontId="28" fillId="17" borderId="16" xfId="0" applyFont="1" applyFill="1" applyBorder="1" applyAlignment="1" applyProtection="1">
      <alignment horizontal="right"/>
      <protection/>
    </xf>
    <xf numFmtId="0" fontId="25" fillId="17" borderId="16" xfId="0" applyFont="1" applyFill="1" applyBorder="1" applyAlignment="1" applyProtection="1">
      <alignment/>
      <protection/>
    </xf>
    <xf numFmtId="0" fontId="25" fillId="17" borderId="0" xfId="0" applyFont="1" applyFill="1" applyBorder="1" applyAlignment="1" applyProtection="1">
      <alignment/>
      <protection/>
    </xf>
    <xf numFmtId="0" fontId="24" fillId="17" borderId="0" xfId="0" applyFont="1" applyFill="1" applyBorder="1" applyAlignment="1" applyProtection="1">
      <alignment/>
      <protection/>
    </xf>
    <xf numFmtId="0" fontId="37" fillId="17" borderId="0" xfId="0" applyFont="1" applyFill="1" applyBorder="1" applyAlignment="1" applyProtection="1">
      <alignment horizontal="right"/>
      <protection/>
    </xf>
    <xf numFmtId="0" fontId="20" fillId="0" borderId="0" xfId="72" applyNumberFormat="1" applyFont="1" applyFill="1" applyBorder="1" applyAlignment="1" applyProtection="1">
      <alignment/>
      <protection/>
    </xf>
    <xf numFmtId="0" fontId="20" fillId="0" borderId="0" xfId="72" applyFont="1" applyAlignment="1">
      <alignment/>
    </xf>
    <xf numFmtId="0" fontId="43" fillId="17" borderId="0" xfId="0" applyFont="1" applyFill="1" applyBorder="1" applyAlignment="1" applyProtection="1">
      <alignment/>
      <protection/>
    </xf>
    <xf numFmtId="0" fontId="127" fillId="17" borderId="5" xfId="0" applyFont="1" applyFill="1" applyBorder="1" applyAlignment="1" applyProtection="1">
      <alignment vertical="center"/>
      <protection/>
    </xf>
    <xf numFmtId="0" fontId="129" fillId="17" borderId="5" xfId="0" applyFont="1" applyFill="1" applyBorder="1" applyAlignment="1" applyProtection="1">
      <alignment vertical="center"/>
      <protection/>
    </xf>
    <xf numFmtId="0" fontId="21" fillId="17" borderId="5" xfId="0" applyFont="1" applyFill="1" applyBorder="1" applyAlignment="1" applyProtection="1">
      <alignment vertical="center"/>
      <protection/>
    </xf>
    <xf numFmtId="0" fontId="30" fillId="17" borderId="5" xfId="0" applyFont="1" applyFill="1" applyBorder="1" applyAlignment="1" applyProtection="1">
      <alignment vertical="center"/>
      <protection/>
    </xf>
    <xf numFmtId="196" fontId="30" fillId="17" borderId="13" xfId="0" applyNumberFormat="1" applyFont="1" applyFill="1" applyBorder="1" applyAlignment="1" applyProtection="1">
      <alignment horizontal="right" vertical="center" wrapText="1"/>
      <protection locked="0"/>
    </xf>
    <xf numFmtId="196" fontId="21" fillId="17" borderId="13" xfId="0" applyNumberFormat="1" applyFont="1" applyFill="1" applyBorder="1" applyAlignment="1" applyProtection="1">
      <alignment horizontal="right" vertical="center" wrapText="1"/>
      <protection locked="0"/>
    </xf>
    <xf numFmtId="0" fontId="21" fillId="17" borderId="5" xfId="0" applyNumberFormat="1" applyFont="1" applyFill="1" applyBorder="1" applyAlignment="1" applyProtection="1">
      <alignment vertical="center"/>
      <protection/>
    </xf>
    <xf numFmtId="196" fontId="21" fillId="17" borderId="13" xfId="0" applyNumberFormat="1" applyFont="1" applyFill="1" applyBorder="1" applyAlignment="1" applyProtection="1">
      <alignment vertical="center"/>
      <protection locked="0"/>
    </xf>
    <xf numFmtId="0" fontId="30" fillId="17" borderId="5" xfId="0" applyNumberFormat="1" applyFont="1" applyFill="1" applyBorder="1" applyAlignment="1" applyProtection="1">
      <alignment horizontal="right" vertical="center"/>
      <protection/>
    </xf>
    <xf numFmtId="0" fontId="30" fillId="17" borderId="18" xfId="0" applyFont="1" applyFill="1" applyBorder="1" applyAlignment="1" applyProtection="1">
      <alignment vertical="center"/>
      <protection/>
    </xf>
    <xf numFmtId="0" fontId="21" fillId="17" borderId="23" xfId="0" applyFont="1" applyFill="1" applyBorder="1" applyAlignment="1" applyProtection="1">
      <alignment vertical="center"/>
      <protection/>
    </xf>
    <xf numFmtId="0" fontId="127" fillId="17" borderId="18" xfId="0" applyFont="1" applyFill="1" applyBorder="1" applyAlignment="1" applyProtection="1">
      <alignment vertical="center"/>
      <protection/>
    </xf>
    <xf numFmtId="0" fontId="30" fillId="17" borderId="24" xfId="0" applyNumberFormat="1" applyFont="1" applyFill="1" applyBorder="1" applyAlignment="1" applyProtection="1">
      <alignment horizontal="right" vertical="center"/>
      <protection/>
    </xf>
    <xf numFmtId="196" fontId="30" fillId="17" borderId="25" xfId="0" applyNumberFormat="1" applyFont="1" applyFill="1" applyBorder="1" applyAlignment="1" applyProtection="1">
      <alignment horizontal="right" vertical="center" wrapText="1"/>
      <protection locked="0"/>
    </xf>
    <xf numFmtId="196" fontId="21" fillId="17" borderId="25" xfId="0" applyNumberFormat="1" applyFont="1" applyFill="1" applyBorder="1" applyAlignment="1" applyProtection="1">
      <alignment horizontal="right" vertical="center" wrapText="1"/>
      <protection locked="0"/>
    </xf>
    <xf numFmtId="196" fontId="21" fillId="17" borderId="25" xfId="0" applyNumberFormat="1" applyFont="1" applyFill="1" applyBorder="1" applyAlignment="1" applyProtection="1">
      <alignment vertical="center"/>
      <protection locked="0"/>
    </xf>
    <xf numFmtId="196" fontId="21" fillId="17" borderId="25" xfId="0" applyNumberFormat="1" applyFont="1" applyFill="1" applyBorder="1" applyAlignment="1" applyProtection="1">
      <alignment horizontal="right" wrapText="1"/>
      <protection locked="0"/>
    </xf>
    <xf numFmtId="196" fontId="21" fillId="17" borderId="25" xfId="0" applyNumberFormat="1" applyFont="1" applyFill="1" applyBorder="1" applyAlignment="1" applyProtection="1">
      <alignment/>
      <protection locked="0"/>
    </xf>
    <xf numFmtId="196" fontId="43" fillId="17" borderId="25" xfId="0" applyNumberFormat="1" applyFont="1" applyFill="1" applyBorder="1" applyAlignment="1" applyProtection="1">
      <alignment/>
      <protection locked="0"/>
    </xf>
    <xf numFmtId="0" fontId="21" fillId="17" borderId="19" xfId="0" applyFont="1" applyFill="1" applyBorder="1" applyAlignment="1" applyProtection="1">
      <alignment vertical="center"/>
      <protection/>
    </xf>
    <xf numFmtId="196" fontId="21" fillId="17" borderId="20" xfId="0" applyNumberFormat="1" applyFont="1" applyFill="1" applyBorder="1" applyAlignment="1" applyProtection="1">
      <alignment vertical="center"/>
      <protection locked="0"/>
    </xf>
    <xf numFmtId="196" fontId="21" fillId="17" borderId="26" xfId="0" applyNumberFormat="1" applyFont="1" applyFill="1" applyBorder="1" applyAlignment="1" applyProtection="1">
      <alignment vertical="center"/>
      <protection locked="0"/>
    </xf>
    <xf numFmtId="197" fontId="30" fillId="17" borderId="4" xfId="0" applyNumberFormat="1" applyFont="1" applyFill="1" applyBorder="1" applyAlignment="1" applyProtection="1">
      <alignment vertical="center"/>
      <protection/>
    </xf>
    <xf numFmtId="0" fontId="130" fillId="18" borderId="0" xfId="72" applyFont="1" applyFill="1" applyAlignment="1" applyProtection="1">
      <alignment vertical="top" wrapText="1"/>
      <protection/>
    </xf>
    <xf numFmtId="0" fontId="25" fillId="17" borderId="27" xfId="0" applyFont="1" applyFill="1" applyBorder="1" applyAlignment="1" applyProtection="1">
      <alignment/>
      <protection locked="0"/>
    </xf>
    <xf numFmtId="0" fontId="25" fillId="17" borderId="28" xfId="0" applyFont="1" applyFill="1" applyBorder="1" applyAlignment="1" applyProtection="1">
      <alignment horizontal="center"/>
      <protection locked="0"/>
    </xf>
    <xf numFmtId="0" fontId="128" fillId="17" borderId="29" xfId="0" applyFont="1" applyFill="1" applyBorder="1" applyAlignment="1" applyProtection="1" quotePrefix="1">
      <alignment/>
      <protection/>
    </xf>
    <xf numFmtId="0" fontId="131" fillId="18" borderId="19" xfId="0" applyFont="1" applyFill="1" applyBorder="1" applyAlignment="1" applyProtection="1">
      <alignment wrapText="1"/>
      <protection/>
    </xf>
    <xf numFmtId="0" fontId="132" fillId="18" borderId="0" xfId="0" applyFont="1" applyFill="1" applyBorder="1" applyAlignment="1" applyProtection="1">
      <alignment wrapText="1"/>
      <protection/>
    </xf>
    <xf numFmtId="0" fontId="122" fillId="18" borderId="0" xfId="0" applyFont="1" applyFill="1" applyAlignment="1" applyProtection="1">
      <alignment/>
      <protection/>
    </xf>
    <xf numFmtId="0" fontId="21" fillId="17" borderId="5" xfId="0" applyFont="1" applyFill="1" applyBorder="1" applyAlignment="1" applyProtection="1">
      <alignment horizontal="right" vertical="center"/>
      <protection/>
    </xf>
    <xf numFmtId="0" fontId="23" fillId="17" borderId="13" xfId="0" applyFont="1" applyFill="1" applyBorder="1" applyAlignment="1" applyProtection="1">
      <alignment wrapText="1"/>
      <protection locked="0"/>
    </xf>
    <xf numFmtId="183" fontId="23" fillId="17" borderId="13" xfId="0" applyNumberFormat="1" applyFont="1" applyFill="1" applyBorder="1" applyAlignment="1" applyProtection="1">
      <alignment/>
      <protection locked="0"/>
    </xf>
    <xf numFmtId="0" fontId="33" fillId="17" borderId="0" xfId="0" applyFont="1" applyFill="1" applyBorder="1" applyAlignment="1" applyProtection="1">
      <alignment/>
      <protection/>
    </xf>
    <xf numFmtId="0" fontId="37" fillId="17" borderId="0" xfId="0" applyFont="1" applyFill="1" applyBorder="1" applyAlignment="1" applyProtection="1">
      <alignment horizontal="left"/>
      <protection/>
    </xf>
    <xf numFmtId="0" fontId="20" fillId="17" borderId="0" xfId="72" applyNumberFormat="1" applyFont="1" applyFill="1" applyBorder="1" applyAlignment="1" applyProtection="1">
      <alignment horizontal="left"/>
      <protection/>
    </xf>
    <xf numFmtId="0" fontId="32" fillId="17" borderId="0" xfId="83" applyFont="1" applyFill="1" applyBorder="1" applyProtection="1">
      <alignment/>
      <protection/>
    </xf>
    <xf numFmtId="0" fontId="21" fillId="17" borderId="0" xfId="83" applyFont="1" applyFill="1" applyBorder="1" applyAlignment="1" applyProtection="1">
      <alignment horizontal="right"/>
      <protection/>
    </xf>
    <xf numFmtId="0" fontId="21" fillId="17" borderId="0" xfId="0" applyFont="1" applyFill="1" applyAlignment="1" applyProtection="1">
      <alignment/>
      <protection/>
    </xf>
    <xf numFmtId="0" fontId="37" fillId="17" borderId="0" xfId="83" applyFont="1" applyFill="1" applyBorder="1" applyAlignment="1" applyProtection="1">
      <alignment horizontal="right"/>
      <protection/>
    </xf>
    <xf numFmtId="0" fontId="30" fillId="17" borderId="13" xfId="83" applyFont="1" applyFill="1" applyBorder="1" applyAlignment="1" applyProtection="1">
      <alignment horizontal="center"/>
      <protection locked="0"/>
    </xf>
    <xf numFmtId="0" fontId="21" fillId="17" borderId="0" xfId="83" applyFont="1" applyFill="1" applyBorder="1" applyAlignment="1" applyProtection="1">
      <alignment horizontal="center" vertical="top"/>
      <protection/>
    </xf>
    <xf numFmtId="0" fontId="30" fillId="17" borderId="30" xfId="83" applyFont="1" applyFill="1" applyBorder="1" applyAlignment="1" applyProtection="1">
      <alignment horizontal="center" vertical="center" wrapText="1"/>
      <protection locked="0"/>
    </xf>
    <xf numFmtId="0" fontId="30" fillId="17" borderId="30" xfId="83" applyFont="1" applyFill="1" applyBorder="1" applyAlignment="1" applyProtection="1">
      <alignment horizontal="center" vertical="top" wrapText="1"/>
      <protection locked="0"/>
    </xf>
    <xf numFmtId="0" fontId="30" fillId="17" borderId="30" xfId="83" applyFont="1" applyFill="1" applyBorder="1" applyAlignment="1" applyProtection="1">
      <alignment horizontal="center" vertical="center"/>
      <protection locked="0"/>
    </xf>
    <xf numFmtId="0" fontId="33" fillId="17" borderId="15" xfId="83" applyFont="1" applyFill="1" applyBorder="1" applyAlignment="1" applyProtection="1">
      <alignment horizontal="center"/>
      <protection locked="0"/>
    </xf>
    <xf numFmtId="0" fontId="33" fillId="17" borderId="15" xfId="83" applyFont="1" applyFill="1" applyBorder="1" applyAlignment="1" applyProtection="1">
      <alignment horizontal="center"/>
      <protection/>
    </xf>
    <xf numFmtId="0" fontId="32" fillId="17" borderId="0" xfId="83" applyFont="1" applyFill="1" applyBorder="1" applyAlignment="1" applyProtection="1">
      <alignment horizontal="center"/>
      <protection/>
    </xf>
    <xf numFmtId="0" fontId="38" fillId="17" borderId="13" xfId="83" applyFont="1" applyFill="1" applyBorder="1" applyAlignment="1" applyProtection="1">
      <alignment vertical="top"/>
      <protection locked="0"/>
    </xf>
    <xf numFmtId="183" fontId="33" fillId="17" borderId="13" xfId="83" applyNumberFormat="1" applyFont="1" applyFill="1" applyBorder="1" applyAlignment="1" applyProtection="1">
      <alignment horizontal="center"/>
      <protection/>
    </xf>
    <xf numFmtId="183" fontId="32" fillId="17" borderId="13" xfId="83" applyNumberFormat="1" applyFont="1" applyFill="1" applyBorder="1" applyAlignment="1" applyProtection="1">
      <alignment horizontal="right"/>
      <protection/>
    </xf>
    <xf numFmtId="183" fontId="33" fillId="17" borderId="13" xfId="83" applyNumberFormat="1" applyFont="1" applyFill="1" applyBorder="1" applyAlignment="1" applyProtection="1">
      <alignment horizontal="center"/>
      <protection locked="0"/>
    </xf>
    <xf numFmtId="0" fontId="21" fillId="17" borderId="13" xfId="83" applyFont="1" applyFill="1" applyBorder="1" applyAlignment="1" applyProtection="1">
      <alignment wrapText="1"/>
      <protection locked="0"/>
    </xf>
    <xf numFmtId="183" fontId="33" fillId="17" borderId="13" xfId="83" applyNumberFormat="1" applyFont="1" applyFill="1" applyBorder="1" applyAlignment="1" applyProtection="1">
      <alignment horizontal="right"/>
      <protection/>
    </xf>
    <xf numFmtId="196" fontId="32" fillId="17" borderId="0" xfId="83" applyNumberFormat="1" applyFont="1" applyFill="1" applyBorder="1" applyAlignment="1" applyProtection="1">
      <alignment horizontal="center"/>
      <protection/>
    </xf>
    <xf numFmtId="0" fontId="33" fillId="17" borderId="13" xfId="83" applyFont="1" applyFill="1" applyBorder="1" applyAlignment="1" applyProtection="1">
      <alignment horizontal="center"/>
      <protection locked="0"/>
    </xf>
    <xf numFmtId="0" fontId="21" fillId="17" borderId="13" xfId="83" applyFont="1" applyFill="1" applyBorder="1" applyAlignment="1" applyProtection="1">
      <alignment vertical="top" wrapText="1"/>
      <protection locked="0"/>
    </xf>
    <xf numFmtId="183" fontId="32" fillId="17" borderId="13" xfId="83" applyNumberFormat="1" applyFont="1" applyFill="1" applyBorder="1" applyAlignment="1" applyProtection="1">
      <alignment horizontal="right"/>
      <protection locked="0"/>
    </xf>
    <xf numFmtId="177" fontId="32" fillId="17" borderId="0" xfId="83" applyNumberFormat="1" applyFont="1" applyFill="1" applyBorder="1" applyProtection="1">
      <alignment/>
      <protection/>
    </xf>
    <xf numFmtId="177" fontId="33" fillId="17" borderId="0" xfId="83" applyNumberFormat="1" applyFont="1" applyFill="1" applyBorder="1" applyProtection="1">
      <alignment/>
      <protection/>
    </xf>
    <xf numFmtId="0" fontId="33" fillId="17" borderId="0" xfId="83" applyFont="1" applyFill="1" applyBorder="1" applyProtection="1">
      <alignment/>
      <protection/>
    </xf>
    <xf numFmtId="0" fontId="38" fillId="17" borderId="13" xfId="83" applyFont="1" applyFill="1" applyBorder="1" applyAlignment="1" applyProtection="1">
      <alignment vertical="center" wrapText="1"/>
      <protection locked="0"/>
    </xf>
    <xf numFmtId="183" fontId="27" fillId="17" borderId="13" xfId="83" applyNumberFormat="1" applyFont="1" applyFill="1" applyBorder="1" applyAlignment="1" applyProtection="1">
      <alignment horizontal="right"/>
      <protection/>
    </xf>
    <xf numFmtId="0" fontId="27" fillId="17" borderId="0" xfId="83" applyFont="1" applyFill="1" applyBorder="1" applyProtection="1">
      <alignment/>
      <protection/>
    </xf>
    <xf numFmtId="0" fontId="32" fillId="17" borderId="13" xfId="83" applyFont="1" applyFill="1" applyBorder="1" applyAlignment="1" applyProtection="1">
      <alignment wrapText="1"/>
      <protection locked="0"/>
    </xf>
    <xf numFmtId="0" fontId="32" fillId="17" borderId="13" xfId="83" applyFont="1" applyFill="1" applyBorder="1" applyProtection="1">
      <alignment/>
      <protection locked="0"/>
    </xf>
    <xf numFmtId="0" fontId="38" fillId="17" borderId="0" xfId="83" applyFont="1" applyFill="1" applyBorder="1" applyProtection="1">
      <alignment/>
      <protection/>
    </xf>
    <xf numFmtId="0" fontId="38" fillId="17" borderId="13" xfId="83" applyFont="1" applyFill="1" applyBorder="1" applyAlignment="1" applyProtection="1">
      <alignment horizontal="left"/>
      <protection locked="0"/>
    </xf>
    <xf numFmtId="183" fontId="38" fillId="17" borderId="13" xfId="83" applyNumberFormat="1" applyFont="1" applyFill="1" applyBorder="1" applyAlignment="1" applyProtection="1">
      <alignment horizontal="right"/>
      <protection/>
    </xf>
    <xf numFmtId="183" fontId="38" fillId="17" borderId="13" xfId="83" applyNumberFormat="1" applyFont="1" applyFill="1" applyBorder="1" applyAlignment="1" applyProtection="1">
      <alignment horizontal="right"/>
      <protection locked="0"/>
    </xf>
    <xf numFmtId="183" fontId="33" fillId="17" borderId="0" xfId="83" applyNumberFormat="1" applyFont="1" applyFill="1" applyBorder="1" applyProtection="1">
      <alignment/>
      <protection/>
    </xf>
    <xf numFmtId="0" fontId="30" fillId="17" borderId="0" xfId="0" applyFont="1" applyFill="1" applyAlignment="1" applyProtection="1">
      <alignment/>
      <protection/>
    </xf>
    <xf numFmtId="0" fontId="43" fillId="17" borderId="0" xfId="83" applyFont="1" applyFill="1" applyBorder="1" applyProtection="1">
      <alignment/>
      <protection/>
    </xf>
    <xf numFmtId="183" fontId="124" fillId="17" borderId="0" xfId="83" applyNumberFormat="1" applyFont="1" applyFill="1" applyBorder="1" applyProtection="1">
      <alignment/>
      <protection/>
    </xf>
    <xf numFmtId="183" fontId="47" fillId="17" borderId="0" xfId="83" applyNumberFormat="1" applyFont="1" applyFill="1" applyBorder="1" applyProtection="1">
      <alignment/>
      <protection/>
    </xf>
    <xf numFmtId="0" fontId="24" fillId="17" borderId="31" xfId="0" applyFont="1" applyFill="1" applyBorder="1" applyAlignment="1" applyProtection="1">
      <alignment/>
      <protection/>
    </xf>
    <xf numFmtId="0" fontId="30" fillId="17" borderId="31" xfId="0" applyFont="1" applyFill="1" applyBorder="1" applyAlignment="1" applyProtection="1">
      <alignment/>
      <protection/>
    </xf>
    <xf numFmtId="0" fontId="37" fillId="17" borderId="31" xfId="0" applyFont="1" applyFill="1" applyBorder="1" applyAlignment="1" applyProtection="1">
      <alignment/>
      <protection/>
    </xf>
    <xf numFmtId="0" fontId="37" fillId="17" borderId="31" xfId="0" applyFont="1" applyFill="1" applyBorder="1" applyAlignment="1" applyProtection="1">
      <alignment horizontal="right"/>
      <protection/>
    </xf>
    <xf numFmtId="0" fontId="37" fillId="17" borderId="31" xfId="0" applyFont="1" applyFill="1" applyBorder="1" applyAlignment="1" applyProtection="1">
      <alignment horizontal="left"/>
      <protection/>
    </xf>
    <xf numFmtId="0" fontId="48" fillId="17" borderId="0" xfId="0" applyFont="1" applyFill="1" applyBorder="1" applyAlignment="1" applyProtection="1">
      <alignment horizontal="left"/>
      <protection/>
    </xf>
    <xf numFmtId="0" fontId="67" fillId="17" borderId="0" xfId="0" applyFont="1" applyFill="1" applyBorder="1" applyAlignment="1" applyProtection="1">
      <alignment horizontal="left"/>
      <protection/>
    </xf>
    <xf numFmtId="0" fontId="69" fillId="17" borderId="0" xfId="0" applyFont="1" applyFill="1" applyBorder="1" applyAlignment="1" applyProtection="1">
      <alignment horizontal="left"/>
      <protection/>
    </xf>
    <xf numFmtId="183" fontId="21" fillId="17" borderId="0" xfId="0" applyNumberFormat="1" applyFont="1" applyFill="1" applyBorder="1" applyAlignment="1" applyProtection="1">
      <alignment/>
      <protection/>
    </xf>
    <xf numFmtId="0" fontId="21" fillId="17" borderId="0" xfId="0" applyFont="1" applyFill="1" applyAlignment="1">
      <alignment horizontal="right"/>
    </xf>
    <xf numFmtId="0" fontId="21" fillId="17" borderId="0" xfId="0" applyFont="1" applyFill="1" applyAlignment="1">
      <alignment/>
    </xf>
    <xf numFmtId="0" fontId="21" fillId="17" borderId="0" xfId="0" applyNumberFormat="1" applyFont="1" applyFill="1" applyBorder="1" applyAlignment="1" applyProtection="1">
      <alignment/>
      <protection/>
    </xf>
    <xf numFmtId="1" fontId="59" fillId="17" borderId="20" xfId="0" applyNumberFormat="1" applyFont="1" applyFill="1" applyBorder="1" applyAlignment="1" applyProtection="1">
      <alignment horizontal="center" vertical="center" wrapText="1"/>
      <protection/>
    </xf>
    <xf numFmtId="1" fontId="59" fillId="17" borderId="32" xfId="0" applyNumberFormat="1" applyFont="1" applyFill="1" applyBorder="1" applyAlignment="1" applyProtection="1">
      <alignment horizontal="center" vertical="center" wrapText="1"/>
      <protection/>
    </xf>
    <xf numFmtId="1" fontId="59" fillId="17" borderId="13" xfId="0" applyNumberFormat="1" applyFont="1" applyFill="1" applyBorder="1" applyAlignment="1" applyProtection="1">
      <alignment horizontal="center" vertical="center" wrapText="1"/>
      <protection/>
    </xf>
    <xf numFmtId="1" fontId="59" fillId="17" borderId="25" xfId="0" applyNumberFormat="1" applyFont="1" applyFill="1" applyBorder="1" applyAlignment="1" applyProtection="1">
      <alignment horizontal="center" vertical="center" wrapText="1"/>
      <protection/>
    </xf>
    <xf numFmtId="0" fontId="21" fillId="17" borderId="24" xfId="0" applyFont="1" applyFill="1" applyBorder="1" applyAlignment="1">
      <alignment horizontal="right" vertical="center"/>
    </xf>
    <xf numFmtId="0" fontId="30" fillId="17" borderId="24" xfId="0" applyFont="1" applyFill="1" applyBorder="1" applyAlignment="1" applyProtection="1">
      <alignment horizontal="right" vertical="center"/>
      <protection/>
    </xf>
    <xf numFmtId="0" fontId="21" fillId="17" borderId="24" xfId="0" applyFont="1" applyFill="1" applyBorder="1" applyAlignment="1" applyProtection="1">
      <alignment horizontal="right" vertical="center"/>
      <protection/>
    </xf>
    <xf numFmtId="0" fontId="133" fillId="17" borderId="24" xfId="0" applyFont="1" applyFill="1" applyBorder="1" applyAlignment="1" applyProtection="1">
      <alignment horizontal="right" vertical="center"/>
      <protection/>
    </xf>
    <xf numFmtId="196" fontId="30" fillId="17" borderId="24" xfId="0" applyNumberFormat="1" applyFont="1" applyFill="1" applyBorder="1" applyAlignment="1" applyProtection="1">
      <alignment horizontal="right" vertical="center" wrapText="1"/>
      <protection/>
    </xf>
    <xf numFmtId="0" fontId="134" fillId="17" borderId="24" xfId="0" applyFont="1" applyFill="1" applyBorder="1" applyAlignment="1">
      <alignment horizontal="right" vertical="center"/>
    </xf>
    <xf numFmtId="0" fontId="134" fillId="17" borderId="33" xfId="0" applyFont="1" applyFill="1" applyBorder="1" applyAlignment="1">
      <alignment horizontal="right" vertical="center"/>
    </xf>
    <xf numFmtId="0" fontId="133" fillId="17" borderId="33" xfId="0" applyFont="1" applyFill="1" applyBorder="1" applyAlignment="1" applyProtection="1">
      <alignment horizontal="right" vertical="center"/>
      <protection/>
    </xf>
    <xf numFmtId="0" fontId="30" fillId="17" borderId="34" xfId="0" applyNumberFormat="1" applyFont="1" applyFill="1" applyBorder="1" applyAlignment="1" applyProtection="1">
      <alignment horizontal="right" vertical="center"/>
      <protection/>
    </xf>
    <xf numFmtId="0" fontId="30" fillId="17" borderId="24" xfId="0" applyFont="1" applyFill="1" applyBorder="1" applyAlignment="1">
      <alignment horizontal="right" vertical="center"/>
    </xf>
    <xf numFmtId="0" fontId="21" fillId="17" borderId="18" xfId="0" applyFont="1" applyFill="1" applyBorder="1" applyAlignment="1" applyProtection="1">
      <alignment vertical="center"/>
      <protection/>
    </xf>
    <xf numFmtId="0" fontId="21" fillId="17" borderId="18" xfId="0" applyNumberFormat="1" applyFont="1" applyFill="1" applyBorder="1" applyAlignment="1" applyProtection="1">
      <alignment vertical="center" wrapText="1"/>
      <protection/>
    </xf>
    <xf numFmtId="0" fontId="21" fillId="17" borderId="35" xfId="0" applyFont="1" applyFill="1" applyBorder="1" applyAlignment="1">
      <alignment horizontal="right"/>
    </xf>
    <xf numFmtId="0" fontId="21" fillId="17" borderId="0" xfId="0" applyFont="1" applyFill="1" applyBorder="1" applyAlignment="1">
      <alignment/>
    </xf>
    <xf numFmtId="0" fontId="21" fillId="17" borderId="36" xfId="0" applyFont="1" applyFill="1" applyBorder="1" applyAlignment="1">
      <alignment horizontal="right" vertical="center"/>
    </xf>
    <xf numFmtId="0" fontId="21" fillId="17" borderId="4" xfId="0" applyFont="1" applyFill="1" applyBorder="1" applyAlignment="1">
      <alignment vertical="center"/>
    </xf>
    <xf numFmtId="196" fontId="59" fillId="17" borderId="0" xfId="0" applyNumberFormat="1" applyFont="1" applyFill="1" applyBorder="1" applyAlignment="1" applyProtection="1">
      <alignment/>
      <protection/>
    </xf>
    <xf numFmtId="0" fontId="61" fillId="17" borderId="0" xfId="0" applyNumberFormat="1" applyFont="1" applyFill="1" applyBorder="1" applyAlignment="1" applyProtection="1">
      <alignment horizontal="right" wrapText="1"/>
      <protection/>
    </xf>
    <xf numFmtId="0" fontId="49" fillId="17" borderId="0" xfId="0" applyNumberFormat="1" applyFont="1" applyFill="1" applyBorder="1" applyAlignment="1" applyProtection="1">
      <alignment horizontal="center" wrapText="1"/>
      <protection locked="0"/>
    </xf>
    <xf numFmtId="0" fontId="133" fillId="17" borderId="32" xfId="0" applyFont="1" applyFill="1" applyBorder="1" applyAlignment="1" applyProtection="1">
      <alignment horizontal="right"/>
      <protection/>
    </xf>
    <xf numFmtId="0" fontId="135" fillId="17" borderId="32" xfId="0" applyFont="1" applyFill="1" applyBorder="1" applyAlignment="1" applyProtection="1">
      <alignment/>
      <protection/>
    </xf>
    <xf numFmtId="0" fontId="25" fillId="17" borderId="19" xfId="0" applyFont="1" applyFill="1" applyBorder="1" applyAlignment="1" applyProtection="1">
      <alignment/>
      <protection/>
    </xf>
    <xf numFmtId="0" fontId="133" fillId="17" borderId="31" xfId="0" applyFont="1" applyFill="1" applyBorder="1" applyAlignment="1" applyProtection="1">
      <alignment horizontal="right"/>
      <protection/>
    </xf>
    <xf numFmtId="0" fontId="135" fillId="17" borderId="31" xfId="0" applyFont="1" applyFill="1" applyBorder="1" applyAlignment="1" applyProtection="1">
      <alignment/>
      <protection/>
    </xf>
    <xf numFmtId="0" fontId="133" fillId="17" borderId="37" xfId="0" applyFont="1" applyFill="1" applyBorder="1" applyAlignment="1" applyProtection="1">
      <alignment horizontal="right"/>
      <protection/>
    </xf>
    <xf numFmtId="0" fontId="21" fillId="17" borderId="38" xfId="0" applyFont="1" applyFill="1" applyBorder="1" applyAlignment="1" applyProtection="1">
      <alignment/>
      <protection/>
    </xf>
    <xf numFmtId="0" fontId="135" fillId="17" borderId="37" xfId="0" applyFont="1" applyFill="1" applyBorder="1" applyAlignment="1" applyProtection="1">
      <alignment/>
      <protection/>
    </xf>
    <xf numFmtId="0" fontId="25" fillId="17" borderId="38" xfId="0" applyFont="1" applyFill="1" applyBorder="1" applyAlignment="1" applyProtection="1">
      <alignment/>
      <protection/>
    </xf>
    <xf numFmtId="0" fontId="133" fillId="17" borderId="16" xfId="0" applyFont="1" applyFill="1" applyBorder="1" applyAlignment="1" applyProtection="1">
      <alignment horizontal="right"/>
      <protection/>
    </xf>
    <xf numFmtId="0" fontId="33" fillId="17" borderId="32" xfId="0" applyFont="1" applyFill="1" applyBorder="1" applyAlignment="1" applyProtection="1">
      <alignment horizontal="right"/>
      <protection/>
    </xf>
    <xf numFmtId="0" fontId="28" fillId="17" borderId="21" xfId="0" applyFont="1" applyFill="1" applyBorder="1" applyAlignment="1" applyProtection="1">
      <alignment/>
      <protection locked="0"/>
    </xf>
    <xf numFmtId="0" fontId="28" fillId="17" borderId="14" xfId="0" applyFont="1" applyFill="1" applyBorder="1" applyAlignment="1" applyProtection="1">
      <alignment/>
      <protection/>
    </xf>
    <xf numFmtId="0" fontId="21" fillId="17" borderId="0" xfId="0" applyFont="1" applyFill="1" applyBorder="1" applyAlignment="1" applyProtection="1">
      <alignment wrapText="1"/>
      <protection/>
    </xf>
    <xf numFmtId="0" fontId="23" fillId="17" borderId="0" xfId="0" applyFont="1" applyFill="1" applyBorder="1" applyAlignment="1" applyProtection="1">
      <alignment/>
      <protection/>
    </xf>
    <xf numFmtId="0" fontId="23" fillId="17" borderId="0" xfId="0" applyFont="1" applyFill="1" applyBorder="1" applyAlignment="1" applyProtection="1">
      <alignment horizontal="right"/>
      <protection/>
    </xf>
    <xf numFmtId="0" fontId="24" fillId="17" borderId="15" xfId="0" applyFont="1" applyFill="1" applyBorder="1" applyAlignment="1" applyProtection="1">
      <alignment/>
      <protection locked="0"/>
    </xf>
    <xf numFmtId="0" fontId="28" fillId="17" borderId="15" xfId="0" applyFont="1" applyFill="1" applyBorder="1" applyAlignment="1" applyProtection="1">
      <alignment wrapText="1"/>
      <protection locked="0"/>
    </xf>
    <xf numFmtId="0" fontId="23" fillId="17" borderId="14" xfId="0" applyFont="1" applyFill="1" applyBorder="1" applyAlignment="1" applyProtection="1">
      <alignment/>
      <protection/>
    </xf>
    <xf numFmtId="0" fontId="23" fillId="17" borderId="13" xfId="0" applyFont="1" applyFill="1" applyBorder="1" applyAlignment="1" applyProtection="1">
      <alignment/>
      <protection/>
    </xf>
    <xf numFmtId="0" fontId="136" fillId="17" borderId="13" xfId="0" applyFont="1" applyFill="1" applyBorder="1" applyAlignment="1" applyProtection="1" quotePrefix="1">
      <alignment/>
      <protection locked="0"/>
    </xf>
    <xf numFmtId="0" fontId="25" fillId="17" borderId="13" xfId="0" applyFont="1" applyFill="1" applyBorder="1" applyAlignment="1" applyProtection="1">
      <alignment/>
      <protection locked="0"/>
    </xf>
    <xf numFmtId="0" fontId="26" fillId="17" borderId="13" xfId="0" applyFont="1" applyFill="1" applyBorder="1" applyAlignment="1" applyProtection="1">
      <alignment wrapText="1"/>
      <protection locked="0"/>
    </xf>
    <xf numFmtId="0" fontId="27" fillId="17" borderId="0" xfId="0" applyFont="1" applyFill="1" applyBorder="1" applyAlignment="1" applyProtection="1">
      <alignment/>
      <protection/>
    </xf>
    <xf numFmtId="0" fontId="24" fillId="17" borderId="13" xfId="0" applyFont="1" applyFill="1" applyBorder="1" applyAlignment="1" applyProtection="1">
      <alignment/>
      <protection locked="0"/>
    </xf>
    <xf numFmtId="0" fontId="28" fillId="17" borderId="13" xfId="0" applyFont="1" applyFill="1" applyBorder="1" applyAlignment="1" applyProtection="1">
      <alignment wrapText="1"/>
      <protection locked="0"/>
    </xf>
    <xf numFmtId="0" fontId="133" fillId="17" borderId="13" xfId="0" applyFont="1" applyFill="1" applyBorder="1" applyAlignment="1" applyProtection="1">
      <alignment/>
      <protection locked="0"/>
    </xf>
    <xf numFmtId="183" fontId="46" fillId="17" borderId="0" xfId="0" applyNumberFormat="1" applyFont="1" applyFill="1" applyBorder="1" applyAlignment="1" applyProtection="1">
      <alignment/>
      <protection/>
    </xf>
    <xf numFmtId="183" fontId="23" fillId="17" borderId="0" xfId="0" applyNumberFormat="1" applyFont="1" applyFill="1" applyBorder="1" applyAlignment="1" applyProtection="1">
      <alignment/>
      <protection/>
    </xf>
    <xf numFmtId="0" fontId="31" fillId="17" borderId="0" xfId="72" applyNumberFormat="1" applyFont="1" applyFill="1" applyBorder="1" applyAlignment="1" applyProtection="1">
      <alignment horizontal="left"/>
      <protection/>
    </xf>
    <xf numFmtId="0" fontId="32" fillId="17" borderId="0" xfId="0" applyFont="1" applyFill="1" applyBorder="1" applyAlignment="1" applyProtection="1">
      <alignment/>
      <protection/>
    </xf>
    <xf numFmtId="0" fontId="35" fillId="17" borderId="0" xfId="72" applyNumberFormat="1" applyFont="1" applyFill="1" applyBorder="1" applyAlignment="1" applyProtection="1">
      <alignment horizontal="left"/>
      <protection/>
    </xf>
    <xf numFmtId="0" fontId="27" fillId="17" borderId="0" xfId="0" applyFont="1" applyFill="1" applyBorder="1" applyAlignment="1" applyProtection="1">
      <alignment/>
      <protection/>
    </xf>
    <xf numFmtId="0" fontId="66" fillId="17" borderId="0" xfId="72" applyNumberFormat="1" applyFont="1" applyFill="1" applyBorder="1" applyAlignment="1" applyProtection="1">
      <alignment horizontal="left"/>
      <protection/>
    </xf>
    <xf numFmtId="0" fontId="40" fillId="17" borderId="0" xfId="0" applyFont="1" applyFill="1" applyBorder="1" applyAlignment="1" applyProtection="1">
      <alignment/>
      <protection/>
    </xf>
    <xf numFmtId="0" fontId="40" fillId="17" borderId="0" xfId="0" applyFont="1" applyFill="1" applyBorder="1" applyAlignment="1" applyProtection="1">
      <alignment horizontal="right"/>
      <protection/>
    </xf>
    <xf numFmtId="184" fontId="32" fillId="17" borderId="0" xfId="0" applyNumberFormat="1" applyFont="1" applyFill="1" applyBorder="1" applyAlignment="1" applyProtection="1">
      <alignment/>
      <protection/>
    </xf>
    <xf numFmtId="0" fontId="38" fillId="17" borderId="14" xfId="0" applyFont="1" applyFill="1" applyBorder="1" applyAlignment="1" applyProtection="1">
      <alignment wrapText="1"/>
      <protection locked="0"/>
    </xf>
    <xf numFmtId="0" fontId="137" fillId="17" borderId="0" xfId="0" applyFont="1" applyFill="1" applyBorder="1" applyAlignment="1" applyProtection="1">
      <alignment/>
      <protection/>
    </xf>
    <xf numFmtId="183" fontId="47" fillId="17" borderId="0" xfId="0" applyNumberFormat="1" applyFont="1" applyFill="1" applyBorder="1" applyAlignment="1" applyProtection="1">
      <alignment/>
      <protection/>
    </xf>
    <xf numFmtId="0" fontId="124" fillId="17" borderId="0" xfId="0" applyFont="1" applyFill="1" applyBorder="1" applyAlignment="1" applyProtection="1">
      <alignment/>
      <protection/>
    </xf>
    <xf numFmtId="183" fontId="124" fillId="17" borderId="0" xfId="0" applyNumberFormat="1" applyFont="1" applyFill="1" applyBorder="1" applyAlignment="1" applyProtection="1">
      <alignment/>
      <protection/>
    </xf>
    <xf numFmtId="0" fontId="125" fillId="17" borderId="0" xfId="0" applyFont="1" applyFill="1" applyAlignment="1" applyProtection="1">
      <alignment/>
      <protection/>
    </xf>
    <xf numFmtId="0" fontId="125" fillId="17" borderId="0" xfId="0" applyFont="1" applyFill="1" applyBorder="1" applyAlignment="1" applyProtection="1">
      <alignment/>
      <protection/>
    </xf>
    <xf numFmtId="0" fontId="37" fillId="17" borderId="0" xfId="0" applyFont="1" applyFill="1" applyBorder="1" applyAlignment="1" applyProtection="1">
      <alignment horizontal="left"/>
      <protection/>
    </xf>
    <xf numFmtId="0" fontId="21" fillId="17" borderId="5" xfId="0" applyNumberFormat="1" applyFont="1" applyFill="1" applyBorder="1" applyAlignment="1" applyProtection="1">
      <alignment horizontal="left" vertical="center" wrapText="1"/>
      <protection/>
    </xf>
    <xf numFmtId="0" fontId="36" fillId="17" borderId="0" xfId="0" applyFont="1" applyFill="1" applyBorder="1" applyAlignment="1" applyProtection="1">
      <alignment horizontal="left"/>
      <protection/>
    </xf>
    <xf numFmtId="0" fontId="60" fillId="17" borderId="5" xfId="0" applyNumberFormat="1" applyFont="1" applyFill="1" applyBorder="1" applyAlignment="1" applyProtection="1">
      <alignment horizontal="left" vertical="center" wrapText="1"/>
      <protection/>
    </xf>
    <xf numFmtId="0" fontId="38" fillId="17" borderId="23" xfId="0" applyNumberFormat="1" applyFont="1" applyFill="1" applyBorder="1" applyAlignment="1" applyProtection="1">
      <alignment horizontal="left" vertical="center" wrapText="1"/>
      <protection/>
    </xf>
    <xf numFmtId="0" fontId="21" fillId="17" borderId="5" xfId="0" applyNumberFormat="1" applyFont="1" applyFill="1" applyBorder="1" applyAlignment="1" applyProtection="1">
      <alignment vertical="center" wrapText="1"/>
      <protection/>
    </xf>
    <xf numFmtId="0" fontId="59" fillId="17" borderId="14" xfId="0" applyNumberFormat="1" applyFont="1" applyFill="1" applyBorder="1" applyAlignment="1" applyProtection="1">
      <alignment horizontal="center" vertical="center" wrapText="1"/>
      <protection/>
    </xf>
    <xf numFmtId="0" fontId="43" fillId="17" borderId="18" xfId="0" applyNumberFormat="1" applyFont="1" applyFill="1" applyBorder="1" applyAlignment="1" applyProtection="1">
      <alignment horizontal="left" vertical="center" wrapText="1"/>
      <protection/>
    </xf>
    <xf numFmtId="0" fontId="59" fillId="17" borderId="25" xfId="0" applyNumberFormat="1" applyFont="1" applyFill="1" applyBorder="1" applyAlignment="1" applyProtection="1">
      <alignment horizontal="center" vertical="center" wrapText="1"/>
      <protection/>
    </xf>
    <xf numFmtId="0" fontId="43" fillId="17" borderId="5" xfId="0" applyNumberFormat="1" applyFont="1" applyFill="1" applyBorder="1" applyAlignment="1" applyProtection="1">
      <alignment horizontal="left" vertical="center" wrapText="1"/>
      <protection/>
    </xf>
    <xf numFmtId="0" fontId="25" fillId="17" borderId="14" xfId="0" applyFont="1" applyFill="1" applyBorder="1" applyAlignment="1" applyProtection="1">
      <alignment horizontal="center"/>
      <protection/>
    </xf>
    <xf numFmtId="0" fontId="25" fillId="17" borderId="13" xfId="0" applyFont="1" applyFill="1" applyBorder="1" applyAlignment="1" applyProtection="1">
      <alignment horizontal="center"/>
      <protection/>
    </xf>
    <xf numFmtId="0" fontId="23" fillId="17" borderId="30" xfId="0" applyFont="1" applyFill="1" applyBorder="1" applyAlignment="1" applyProtection="1">
      <alignment horizontal="center"/>
      <protection/>
    </xf>
    <xf numFmtId="0" fontId="21" fillId="17" borderId="31" xfId="0" applyFont="1" applyFill="1" applyBorder="1" applyAlignment="1" applyProtection="1">
      <alignment/>
      <protection/>
    </xf>
    <xf numFmtId="0" fontId="57" fillId="17" borderId="0" xfId="0" applyNumberFormat="1" applyFont="1" applyFill="1" applyBorder="1" applyAlignment="1" applyProtection="1">
      <alignment/>
      <protection/>
    </xf>
    <xf numFmtId="0" fontId="21" fillId="17" borderId="0" xfId="0" applyNumberFormat="1" applyFont="1" applyFill="1" applyBorder="1" applyAlignment="1" applyProtection="1">
      <alignment horizontal="right"/>
      <protection/>
    </xf>
    <xf numFmtId="1" fontId="59" fillId="17" borderId="26" xfId="0" applyNumberFormat="1" applyFont="1" applyFill="1" applyBorder="1" applyAlignment="1" applyProtection="1">
      <alignment horizontal="center" vertical="center" wrapText="1"/>
      <protection/>
    </xf>
    <xf numFmtId="196" fontId="43" fillId="17" borderId="13" xfId="0" applyNumberFormat="1" applyFont="1" applyFill="1" applyBorder="1" applyAlignment="1" applyProtection="1">
      <alignment horizontal="right" vertical="center" wrapText="1"/>
      <protection/>
    </xf>
    <xf numFmtId="196" fontId="43" fillId="17" borderId="25" xfId="0" applyNumberFormat="1" applyFont="1" applyFill="1" applyBorder="1" applyAlignment="1" applyProtection="1">
      <alignment horizontal="right" vertical="center" wrapText="1"/>
      <protection/>
    </xf>
    <xf numFmtId="196" fontId="21" fillId="17" borderId="13" xfId="0" applyNumberFormat="1" applyFont="1" applyFill="1" applyBorder="1" applyAlignment="1" applyProtection="1">
      <alignment horizontal="right" wrapText="1"/>
      <protection/>
    </xf>
    <xf numFmtId="196" fontId="21" fillId="17" borderId="25" xfId="0" applyNumberFormat="1" applyFont="1" applyFill="1" applyBorder="1" applyAlignment="1" applyProtection="1">
      <alignment horizontal="right" wrapText="1"/>
      <protection/>
    </xf>
    <xf numFmtId="0" fontId="30" fillId="17" borderId="5" xfId="0" applyFont="1" applyFill="1" applyBorder="1" applyAlignment="1" applyProtection="1">
      <alignment horizontal="right" vertical="center"/>
      <protection/>
    </xf>
    <xf numFmtId="196" fontId="30" fillId="17" borderId="13" xfId="0" applyNumberFormat="1" applyFont="1" applyFill="1" applyBorder="1" applyAlignment="1" applyProtection="1">
      <alignment horizontal="right" vertical="center" wrapText="1"/>
      <protection/>
    </xf>
    <xf numFmtId="196" fontId="30" fillId="17" borderId="25" xfId="0" applyNumberFormat="1" applyFont="1" applyFill="1" applyBorder="1" applyAlignment="1" applyProtection="1">
      <alignment horizontal="right" vertical="center" wrapText="1"/>
      <protection/>
    </xf>
    <xf numFmtId="196" fontId="30" fillId="17" borderId="13" xfId="0" applyNumberFormat="1" applyFont="1" applyFill="1" applyBorder="1" applyAlignment="1" applyProtection="1">
      <alignment horizontal="right" wrapText="1"/>
      <protection/>
    </xf>
    <xf numFmtId="196" fontId="30" fillId="17" borderId="25" xfId="0" applyNumberFormat="1" applyFont="1" applyFill="1" applyBorder="1" applyAlignment="1" applyProtection="1">
      <alignment horizontal="right" wrapText="1"/>
      <protection/>
    </xf>
    <xf numFmtId="0" fontId="133" fillId="17" borderId="5" xfId="0" applyFont="1" applyFill="1" applyBorder="1" applyAlignment="1" applyProtection="1">
      <alignment horizontal="right" vertical="center"/>
      <protection/>
    </xf>
    <xf numFmtId="196" fontId="30" fillId="17" borderId="5" xfId="0" applyNumberFormat="1" applyFont="1" applyFill="1" applyBorder="1" applyAlignment="1" applyProtection="1">
      <alignment horizontal="right" vertical="center" wrapText="1"/>
      <protection/>
    </xf>
    <xf numFmtId="196" fontId="30" fillId="17" borderId="39" xfId="0" applyNumberFormat="1" applyFont="1" applyFill="1" applyBorder="1" applyAlignment="1" applyProtection="1">
      <alignment horizontal="right" vertical="center" wrapText="1"/>
      <protection/>
    </xf>
    <xf numFmtId="0" fontId="133" fillId="17" borderId="23" xfId="0" applyFont="1" applyFill="1" applyBorder="1" applyAlignment="1" applyProtection="1">
      <alignment horizontal="right" vertical="center"/>
      <protection/>
    </xf>
    <xf numFmtId="196" fontId="43" fillId="17" borderId="40" xfId="0" applyNumberFormat="1" applyFont="1" applyFill="1" applyBorder="1" applyAlignment="1" applyProtection="1">
      <alignment horizontal="right" vertical="center" wrapText="1"/>
      <protection/>
    </xf>
    <xf numFmtId="196" fontId="43" fillId="17" borderId="41" xfId="0" applyNumberFormat="1" applyFont="1" applyFill="1" applyBorder="1" applyAlignment="1" applyProtection="1">
      <alignment horizontal="right" vertical="center" wrapText="1"/>
      <protection/>
    </xf>
    <xf numFmtId="0" fontId="30" fillId="17" borderId="18" xfId="0" applyNumberFormat="1" applyFont="1" applyFill="1" applyBorder="1" applyAlignment="1" applyProtection="1">
      <alignment horizontal="right" vertical="center"/>
      <protection/>
    </xf>
    <xf numFmtId="196" fontId="43" fillId="17" borderId="15" xfId="0" applyNumberFormat="1" applyFont="1" applyFill="1" applyBorder="1" applyAlignment="1" applyProtection="1">
      <alignment horizontal="right" vertical="center" wrapText="1"/>
      <protection/>
    </xf>
    <xf numFmtId="196" fontId="43" fillId="17" borderId="42" xfId="0" applyNumberFormat="1" applyFont="1" applyFill="1" applyBorder="1" applyAlignment="1" applyProtection="1">
      <alignment horizontal="right" vertical="center" wrapText="1"/>
      <protection/>
    </xf>
    <xf numFmtId="196" fontId="21" fillId="17" borderId="13" xfId="0" applyNumberFormat="1" applyFont="1" applyFill="1" applyBorder="1" applyAlignment="1" applyProtection="1">
      <alignment vertical="center"/>
      <protection/>
    </xf>
    <xf numFmtId="196" fontId="21" fillId="17" borderId="25" xfId="0" applyNumberFormat="1" applyFont="1" applyFill="1" applyBorder="1" applyAlignment="1" applyProtection="1">
      <alignment vertical="center"/>
      <protection/>
    </xf>
    <xf numFmtId="0" fontId="21" fillId="17" borderId="5" xfId="0" applyFont="1" applyFill="1" applyBorder="1" applyAlignment="1">
      <alignment vertical="center"/>
    </xf>
    <xf numFmtId="0" fontId="21" fillId="17" borderId="13" xfId="0" applyFont="1" applyFill="1" applyBorder="1" applyAlignment="1">
      <alignment/>
    </xf>
    <xf numFmtId="0" fontId="21" fillId="17" borderId="25" xfId="0" applyFont="1" applyFill="1" applyBorder="1" applyAlignment="1">
      <alignment/>
    </xf>
    <xf numFmtId="196" fontId="43" fillId="17" borderId="40" xfId="0" applyNumberFormat="1" applyFont="1" applyFill="1" applyBorder="1" applyAlignment="1" applyProtection="1">
      <alignment horizontal="right" wrapText="1"/>
      <protection/>
    </xf>
    <xf numFmtId="196" fontId="43" fillId="17" borderId="41" xfId="0" applyNumberFormat="1" applyFont="1" applyFill="1" applyBorder="1" applyAlignment="1" applyProtection="1">
      <alignment horizontal="right" wrapText="1"/>
      <protection/>
    </xf>
    <xf numFmtId="196" fontId="43" fillId="17" borderId="15" xfId="0" applyNumberFormat="1" applyFont="1" applyFill="1" applyBorder="1" applyAlignment="1" applyProtection="1">
      <alignment horizontal="right" wrapText="1"/>
      <protection/>
    </xf>
    <xf numFmtId="196" fontId="43" fillId="17" borderId="42" xfId="0" applyNumberFormat="1" applyFont="1" applyFill="1" applyBorder="1" applyAlignment="1" applyProtection="1">
      <alignment horizontal="right" wrapText="1"/>
      <protection/>
    </xf>
    <xf numFmtId="0" fontId="118" fillId="17" borderId="24" xfId="0" applyFont="1" applyFill="1" applyBorder="1" applyAlignment="1">
      <alignment horizontal="right" vertical="center"/>
    </xf>
    <xf numFmtId="196" fontId="21" fillId="17" borderId="13" xfId="72" applyNumberFormat="1" applyFont="1" applyFill="1" applyBorder="1" applyAlignment="1" applyProtection="1">
      <alignment vertical="center"/>
      <protection/>
    </xf>
    <xf numFmtId="196" fontId="21" fillId="17" borderId="25" xfId="72" applyNumberFormat="1" applyFont="1" applyFill="1" applyBorder="1" applyAlignment="1" applyProtection="1">
      <alignment vertical="center"/>
      <protection/>
    </xf>
    <xf numFmtId="196" fontId="30" fillId="17" borderId="13" xfId="0" applyNumberFormat="1" applyFont="1" applyFill="1" applyBorder="1" applyAlignment="1" applyProtection="1">
      <alignment/>
      <protection/>
    </xf>
    <xf numFmtId="196" fontId="30" fillId="17" borderId="25" xfId="0" applyNumberFormat="1" applyFont="1" applyFill="1" applyBorder="1" applyAlignment="1" applyProtection="1">
      <alignment/>
      <protection/>
    </xf>
    <xf numFmtId="196" fontId="21" fillId="17" borderId="13" xfId="0" applyNumberFormat="1" applyFont="1" applyFill="1" applyBorder="1" applyAlignment="1" applyProtection="1">
      <alignment/>
      <protection/>
    </xf>
    <xf numFmtId="196" fontId="21" fillId="17" borderId="25" xfId="0" applyNumberFormat="1" applyFont="1" applyFill="1" applyBorder="1" applyAlignment="1" applyProtection="1">
      <alignment/>
      <protection/>
    </xf>
    <xf numFmtId="196" fontId="43" fillId="17" borderId="40" xfId="0" applyNumberFormat="1" applyFont="1" applyFill="1" applyBorder="1" applyAlignment="1" applyProtection="1">
      <alignment/>
      <protection/>
    </xf>
    <xf numFmtId="196" fontId="43" fillId="17" borderId="41" xfId="0" applyNumberFormat="1" applyFont="1" applyFill="1" applyBorder="1" applyAlignment="1" applyProtection="1">
      <alignment/>
      <protection/>
    </xf>
    <xf numFmtId="196" fontId="43" fillId="17" borderId="40" xfId="0" applyNumberFormat="1" applyFont="1" applyFill="1" applyBorder="1" applyAlignment="1" applyProtection="1">
      <alignment vertical="center"/>
      <protection/>
    </xf>
    <xf numFmtId="196" fontId="43" fillId="17" borderId="41" xfId="0" applyNumberFormat="1" applyFont="1" applyFill="1" applyBorder="1" applyAlignment="1" applyProtection="1">
      <alignment vertical="center"/>
      <protection/>
    </xf>
    <xf numFmtId="0" fontId="21" fillId="17" borderId="34" xfId="0" applyFont="1" applyFill="1" applyBorder="1" applyAlignment="1">
      <alignment horizontal="right" vertical="center"/>
    </xf>
    <xf numFmtId="0" fontId="21" fillId="17" borderId="18" xfId="0" applyFont="1" applyFill="1" applyBorder="1" applyAlignment="1">
      <alignment vertical="center"/>
    </xf>
    <xf numFmtId="0" fontId="21" fillId="17" borderId="15" xfId="0" applyFont="1" applyFill="1" applyBorder="1" applyAlignment="1">
      <alignment/>
    </xf>
    <xf numFmtId="0" fontId="21" fillId="17" borderId="42" xfId="0" applyFont="1" applyFill="1" applyBorder="1" applyAlignment="1">
      <alignment/>
    </xf>
    <xf numFmtId="196" fontId="21" fillId="17" borderId="15" xfId="0" applyNumberFormat="1" applyFont="1" applyFill="1" applyBorder="1" applyAlignment="1" applyProtection="1">
      <alignment vertical="center"/>
      <protection/>
    </xf>
    <xf numFmtId="196" fontId="21" fillId="17" borderId="42" xfId="0" applyNumberFormat="1" applyFont="1" applyFill="1" applyBorder="1" applyAlignment="1" applyProtection="1">
      <alignment vertical="center"/>
      <protection/>
    </xf>
    <xf numFmtId="0" fontId="43" fillId="17" borderId="5" xfId="0" applyNumberFormat="1" applyFont="1" applyFill="1" applyBorder="1" applyAlignment="1" applyProtection="1">
      <alignment vertical="center" wrapText="1"/>
      <protection/>
    </xf>
    <xf numFmtId="196" fontId="43" fillId="17" borderId="13" xfId="0" applyNumberFormat="1" applyFont="1" applyFill="1" applyBorder="1" applyAlignment="1" applyProtection="1">
      <alignment vertical="center"/>
      <protection/>
    </xf>
    <xf numFmtId="196" fontId="43" fillId="17" borderId="25" xfId="0" applyNumberFormat="1" applyFont="1" applyFill="1" applyBorder="1" applyAlignment="1" applyProtection="1">
      <alignment vertical="center"/>
      <protection/>
    </xf>
    <xf numFmtId="0" fontId="21" fillId="17" borderId="43" xfId="0" applyFont="1" applyFill="1" applyBorder="1" applyAlignment="1">
      <alignment horizontal="right" vertical="center"/>
    </xf>
    <xf numFmtId="0" fontId="21" fillId="17" borderId="19" xfId="0" applyFont="1" applyFill="1" applyBorder="1" applyAlignment="1">
      <alignment vertical="center"/>
    </xf>
    <xf numFmtId="196" fontId="21" fillId="17" borderId="20" xfId="0" applyNumberFormat="1" applyFont="1" applyFill="1" applyBorder="1" applyAlignment="1" applyProtection="1">
      <alignment/>
      <protection/>
    </xf>
    <xf numFmtId="196" fontId="21" fillId="17" borderId="26" xfId="0" applyNumberFormat="1" applyFont="1" applyFill="1" applyBorder="1" applyAlignment="1" applyProtection="1">
      <alignment/>
      <protection/>
    </xf>
    <xf numFmtId="0" fontId="21" fillId="17" borderId="19" xfId="0" applyFont="1" applyFill="1" applyBorder="1" applyAlignment="1" applyProtection="1">
      <alignment horizontal="right" vertical="center"/>
      <protection/>
    </xf>
    <xf numFmtId="0" fontId="21" fillId="17" borderId="19" xfId="0" applyNumberFormat="1" applyFont="1" applyFill="1" applyBorder="1" applyAlignment="1" applyProtection="1">
      <alignment vertical="center" wrapText="1"/>
      <protection/>
    </xf>
    <xf numFmtId="196" fontId="30" fillId="17" borderId="44" xfId="0" applyNumberFormat="1" applyFont="1" applyFill="1" applyBorder="1" applyAlignment="1">
      <alignment/>
    </xf>
    <xf numFmtId="197" fontId="30" fillId="17" borderId="45" xfId="0" applyNumberFormat="1" applyFont="1" applyFill="1" applyBorder="1" applyAlignment="1" applyProtection="1">
      <alignment/>
      <protection/>
    </xf>
    <xf numFmtId="197" fontId="30" fillId="17" borderId="36" xfId="0" applyNumberFormat="1" applyFont="1" applyFill="1" applyBorder="1" applyAlignment="1" applyProtection="1">
      <alignment horizontal="right" vertical="center"/>
      <protection locked="0"/>
    </xf>
    <xf numFmtId="0" fontId="30" fillId="17" borderId="4" xfId="0" applyNumberFormat="1" applyFont="1" applyFill="1" applyBorder="1" applyAlignment="1" applyProtection="1">
      <alignment vertical="center" wrapText="1"/>
      <protection/>
    </xf>
    <xf numFmtId="197" fontId="30" fillId="17" borderId="44" xfId="0" applyNumberFormat="1" applyFont="1" applyFill="1" applyBorder="1" applyAlignment="1" applyProtection="1">
      <alignment vertical="center"/>
      <protection/>
    </xf>
    <xf numFmtId="197" fontId="30" fillId="17" borderId="45" xfId="0" applyNumberFormat="1" applyFont="1" applyFill="1" applyBorder="1" applyAlignment="1" applyProtection="1">
      <alignment vertical="center"/>
      <protection/>
    </xf>
    <xf numFmtId="183" fontId="28" fillId="17" borderId="14" xfId="0" applyNumberFormat="1" applyFont="1" applyFill="1" applyBorder="1" applyAlignment="1" applyProtection="1">
      <alignment horizontal="center"/>
      <protection/>
    </xf>
    <xf numFmtId="183" fontId="28" fillId="17" borderId="13" xfId="0" applyNumberFormat="1" applyFont="1" applyFill="1" applyBorder="1" applyAlignment="1" applyProtection="1">
      <alignment horizontal="center"/>
      <protection/>
    </xf>
    <xf numFmtId="183" fontId="28" fillId="17" borderId="14" xfId="0" applyNumberFormat="1" applyFont="1" applyFill="1" applyBorder="1" applyAlignment="1" applyProtection="1">
      <alignment horizontal="center"/>
      <protection locked="0"/>
    </xf>
    <xf numFmtId="183" fontId="28" fillId="17" borderId="13" xfId="0" applyNumberFormat="1" applyFont="1" applyFill="1" applyBorder="1" applyAlignment="1" applyProtection="1">
      <alignment horizontal="center"/>
      <protection locked="0"/>
    </xf>
    <xf numFmtId="183" fontId="25" fillId="17" borderId="14" xfId="0" applyNumberFormat="1" applyFont="1" applyFill="1" applyBorder="1" applyAlignment="1" applyProtection="1">
      <alignment horizontal="center"/>
      <protection/>
    </xf>
    <xf numFmtId="183" fontId="25" fillId="17" borderId="13" xfId="0" applyNumberFormat="1" applyFont="1" applyFill="1" applyBorder="1" applyAlignment="1" applyProtection="1">
      <alignment horizontal="center"/>
      <protection/>
    </xf>
    <xf numFmtId="37" fontId="23" fillId="17" borderId="15" xfId="0" applyNumberFormat="1" applyFont="1" applyFill="1" applyBorder="1" applyAlignment="1" applyProtection="1">
      <alignment/>
      <protection/>
    </xf>
    <xf numFmtId="183" fontId="23" fillId="19" borderId="13" xfId="0" applyNumberFormat="1" applyFont="1" applyFill="1" applyBorder="1" applyAlignment="1" applyProtection="1">
      <alignment/>
      <protection/>
    </xf>
    <xf numFmtId="183" fontId="26" fillId="19" borderId="13" xfId="0" applyNumberFormat="1" applyFont="1" applyFill="1" applyBorder="1" applyAlignment="1" applyProtection="1">
      <alignment/>
      <protection/>
    </xf>
    <xf numFmtId="183" fontId="23" fillId="17" borderId="13" xfId="0" applyNumberFormat="1" applyFont="1" applyFill="1" applyBorder="1" applyAlignment="1" applyProtection="1">
      <alignment/>
      <protection/>
    </xf>
    <xf numFmtId="183" fontId="24" fillId="19" borderId="13" xfId="0" applyNumberFormat="1" applyFont="1" applyFill="1" applyBorder="1" applyAlignment="1" applyProtection="1">
      <alignment/>
      <protection/>
    </xf>
    <xf numFmtId="183" fontId="28" fillId="19" borderId="13" xfId="0" applyNumberFormat="1" applyFont="1" applyFill="1" applyBorder="1" applyAlignment="1" applyProtection="1">
      <alignment horizontal="center"/>
      <protection/>
    </xf>
    <xf numFmtId="0" fontId="21" fillId="17" borderId="14" xfId="0" applyFont="1" applyFill="1" applyBorder="1" applyAlignment="1" applyProtection="1">
      <alignment/>
      <protection locked="0"/>
    </xf>
    <xf numFmtId="0" fontId="33" fillId="17" borderId="16" xfId="0" applyFont="1" applyFill="1" applyBorder="1" applyAlignment="1" applyProtection="1">
      <alignment horizontal="right" vertical="top" wrapText="1"/>
      <protection/>
    </xf>
    <xf numFmtId="183" fontId="28" fillId="19" borderId="14" xfId="0" applyNumberFormat="1" applyFont="1" applyFill="1" applyBorder="1" applyAlignment="1" applyProtection="1">
      <alignment horizontal="center"/>
      <protection/>
    </xf>
    <xf numFmtId="184" fontId="47" fillId="17" borderId="0" xfId="0" applyNumberFormat="1" applyFont="1" applyFill="1" applyBorder="1" applyAlignment="1" applyProtection="1">
      <alignment/>
      <protection/>
    </xf>
    <xf numFmtId="0" fontId="37" fillId="17" borderId="0" xfId="0" applyFont="1" applyFill="1" applyBorder="1" applyAlignment="1" applyProtection="1">
      <alignment horizontal="left"/>
      <protection/>
    </xf>
    <xf numFmtId="0" fontId="38" fillId="17" borderId="23" xfId="0" applyNumberFormat="1" applyFont="1" applyFill="1" applyBorder="1" applyAlignment="1" applyProtection="1">
      <alignment horizontal="left" vertical="center" wrapText="1"/>
      <protection/>
    </xf>
    <xf numFmtId="0" fontId="43" fillId="17" borderId="5" xfId="0" applyNumberFormat="1" applyFont="1" applyFill="1" applyBorder="1" applyAlignment="1" applyProtection="1">
      <alignment vertical="center" wrapText="1"/>
      <protection/>
    </xf>
    <xf numFmtId="0" fontId="21" fillId="17" borderId="5" xfId="0" applyNumberFormat="1" applyFont="1" applyFill="1" applyBorder="1" applyAlignment="1" applyProtection="1">
      <alignment vertical="center"/>
      <protection/>
    </xf>
    <xf numFmtId="0" fontId="21" fillId="17" borderId="5" xfId="0" applyNumberFormat="1" applyFont="1" applyFill="1" applyBorder="1" applyAlignment="1" applyProtection="1">
      <alignment vertical="center" wrapText="1"/>
      <protection/>
    </xf>
    <xf numFmtId="0" fontId="21" fillId="17" borderId="5" xfId="0" applyNumberFormat="1" applyFont="1" applyFill="1" applyBorder="1" applyAlignment="1" applyProtection="1">
      <alignment horizontal="left" vertical="center" wrapText="1"/>
      <protection/>
    </xf>
    <xf numFmtId="0" fontId="60" fillId="17" borderId="5" xfId="0" applyNumberFormat="1" applyFont="1" applyFill="1" applyBorder="1" applyAlignment="1" applyProtection="1">
      <alignment horizontal="left" vertical="center" wrapText="1"/>
      <protection/>
    </xf>
    <xf numFmtId="0" fontId="43" fillId="17" borderId="18" xfId="0" applyNumberFormat="1" applyFont="1" applyFill="1" applyBorder="1" applyAlignment="1" applyProtection="1">
      <alignment horizontal="left" vertical="center" wrapText="1"/>
      <protection/>
    </xf>
    <xf numFmtId="0" fontId="43" fillId="17" borderId="5" xfId="0" applyNumberFormat="1" applyFont="1" applyFill="1" applyBorder="1" applyAlignment="1" applyProtection="1">
      <alignment horizontal="left" vertical="center" wrapText="1"/>
      <protection/>
    </xf>
    <xf numFmtId="0" fontId="59" fillId="17" borderId="14" xfId="0" applyNumberFormat="1" applyFont="1" applyFill="1" applyBorder="1" applyAlignment="1" applyProtection="1">
      <alignment horizontal="center" vertical="center" wrapText="1"/>
      <protection/>
    </xf>
    <xf numFmtId="0" fontId="59" fillId="17" borderId="16" xfId="0" applyNumberFormat="1" applyFont="1" applyFill="1" applyBorder="1" applyAlignment="1" applyProtection="1">
      <alignment horizontal="center" vertical="center" wrapText="1"/>
      <protection/>
    </xf>
    <xf numFmtId="0" fontId="27" fillId="17" borderId="0" xfId="0" applyFont="1" applyFill="1" applyBorder="1" applyAlignment="1" applyProtection="1">
      <alignment horizontal="right"/>
      <protection/>
    </xf>
    <xf numFmtId="196" fontId="70" fillId="17" borderId="13" xfId="0" applyNumberFormat="1" applyFont="1" applyFill="1" applyBorder="1" applyAlignment="1" applyProtection="1">
      <alignment horizontal="right" wrapText="1"/>
      <protection/>
    </xf>
    <xf numFmtId="196" fontId="70" fillId="17" borderId="16" xfId="0" applyNumberFormat="1" applyFont="1" applyFill="1" applyBorder="1" applyAlignment="1" applyProtection="1">
      <alignment horizontal="right" wrapText="1"/>
      <protection/>
    </xf>
    <xf numFmtId="196" fontId="70" fillId="17" borderId="16" xfId="0" applyNumberFormat="1" applyFont="1" applyFill="1" applyBorder="1" applyAlignment="1" applyProtection="1">
      <alignment horizontal="right" wrapText="1"/>
      <protection locked="0"/>
    </xf>
    <xf numFmtId="196" fontId="73" fillId="17" borderId="16" xfId="0" applyNumberFormat="1" applyFont="1" applyFill="1" applyBorder="1" applyAlignment="1" applyProtection="1">
      <alignment horizontal="right" wrapText="1"/>
      <protection/>
    </xf>
    <xf numFmtId="196" fontId="66" fillId="17" borderId="22" xfId="0" applyNumberFormat="1" applyFont="1" applyFill="1" applyBorder="1" applyAlignment="1" applyProtection="1">
      <alignment horizontal="right" wrapText="1"/>
      <protection/>
    </xf>
    <xf numFmtId="196" fontId="70" fillId="17" borderId="16" xfId="0" applyNumberFormat="1" applyFont="1" applyFill="1" applyBorder="1" applyAlignment="1" applyProtection="1">
      <alignment/>
      <protection locked="0"/>
    </xf>
    <xf numFmtId="196" fontId="73" fillId="17" borderId="16" xfId="0" applyNumberFormat="1" applyFont="1" applyFill="1" applyBorder="1" applyAlignment="1" applyProtection="1">
      <alignment/>
      <protection/>
    </xf>
    <xf numFmtId="196" fontId="70" fillId="17" borderId="16" xfId="0" applyNumberFormat="1" applyFont="1" applyFill="1" applyBorder="1" applyAlignment="1" applyProtection="1">
      <alignment/>
      <protection/>
    </xf>
    <xf numFmtId="196" fontId="66" fillId="17" borderId="46" xfId="0" applyNumberFormat="1" applyFont="1" applyFill="1" applyBorder="1" applyAlignment="1" applyProtection="1">
      <alignment/>
      <protection/>
    </xf>
    <xf numFmtId="0" fontId="70" fillId="17" borderId="0" xfId="0" applyFont="1" applyFill="1" applyBorder="1" applyAlignment="1">
      <alignment/>
    </xf>
    <xf numFmtId="196" fontId="66" fillId="17" borderId="13" xfId="0" applyNumberFormat="1" applyFont="1" applyFill="1" applyBorder="1" applyAlignment="1" applyProtection="1">
      <alignment horizontal="right" vertical="center" wrapText="1"/>
      <protection/>
    </xf>
    <xf numFmtId="196" fontId="66" fillId="17" borderId="25" xfId="0" applyNumberFormat="1" applyFont="1" applyFill="1" applyBorder="1" applyAlignment="1" applyProtection="1">
      <alignment horizontal="right" vertical="center" wrapText="1"/>
      <protection/>
    </xf>
    <xf numFmtId="196" fontId="73" fillId="17" borderId="13" xfId="0" applyNumberFormat="1" applyFont="1" applyFill="1" applyBorder="1" applyAlignment="1" applyProtection="1">
      <alignment horizontal="right" vertical="center" wrapText="1"/>
      <protection locked="0"/>
    </xf>
    <xf numFmtId="196" fontId="73" fillId="17" borderId="25" xfId="0" applyNumberFormat="1" applyFont="1" applyFill="1" applyBorder="1" applyAlignment="1" applyProtection="1">
      <alignment horizontal="right" vertical="center" wrapText="1"/>
      <protection locked="0"/>
    </xf>
    <xf numFmtId="196" fontId="73" fillId="17" borderId="13" xfId="0" applyNumberFormat="1" applyFont="1" applyFill="1" applyBorder="1" applyAlignment="1" applyProtection="1">
      <alignment horizontal="right" vertical="center" wrapText="1"/>
      <protection/>
    </xf>
    <xf numFmtId="196" fontId="73" fillId="17" borderId="25" xfId="0" applyNumberFormat="1" applyFont="1" applyFill="1" applyBorder="1" applyAlignment="1" applyProtection="1">
      <alignment horizontal="right" vertical="center" wrapText="1"/>
      <protection/>
    </xf>
    <xf numFmtId="196" fontId="70" fillId="17" borderId="13" xfId="0" applyNumberFormat="1" applyFont="1" applyFill="1" applyBorder="1" applyAlignment="1" applyProtection="1">
      <alignment horizontal="right" vertical="center" wrapText="1"/>
      <protection locked="0"/>
    </xf>
    <xf numFmtId="196" fontId="70" fillId="17" borderId="25" xfId="0" applyNumberFormat="1" applyFont="1" applyFill="1" applyBorder="1" applyAlignment="1" applyProtection="1">
      <alignment horizontal="right" vertical="center" wrapText="1"/>
      <protection locked="0"/>
    </xf>
    <xf numFmtId="196" fontId="73" fillId="17" borderId="39" xfId="0" applyNumberFormat="1" applyFont="1" applyFill="1" applyBorder="1" applyAlignment="1" applyProtection="1">
      <alignment horizontal="right" vertical="center" wrapText="1"/>
      <protection/>
    </xf>
    <xf numFmtId="196" fontId="66" fillId="17" borderId="40" xfId="0" applyNumberFormat="1" applyFont="1" applyFill="1" applyBorder="1" applyAlignment="1" applyProtection="1">
      <alignment horizontal="right" vertical="center" wrapText="1"/>
      <protection/>
    </xf>
    <xf numFmtId="196" fontId="66" fillId="17" borderId="41" xfId="0" applyNumberFormat="1" applyFont="1" applyFill="1" applyBorder="1" applyAlignment="1" applyProtection="1">
      <alignment horizontal="right" vertical="center" wrapText="1"/>
      <protection/>
    </xf>
    <xf numFmtId="196" fontId="66" fillId="17" borderId="15" xfId="0" applyNumberFormat="1" applyFont="1" applyFill="1" applyBorder="1" applyAlignment="1" applyProtection="1">
      <alignment horizontal="right" vertical="center" wrapText="1"/>
      <protection/>
    </xf>
    <xf numFmtId="196" fontId="66" fillId="17" borderId="42" xfId="0" applyNumberFormat="1" applyFont="1" applyFill="1" applyBorder="1" applyAlignment="1" applyProtection="1">
      <alignment horizontal="right" vertical="center" wrapText="1"/>
      <protection/>
    </xf>
    <xf numFmtId="196" fontId="70" fillId="17" borderId="13" xfId="0" applyNumberFormat="1" applyFont="1" applyFill="1" applyBorder="1" applyAlignment="1" applyProtection="1">
      <alignment vertical="center"/>
      <protection/>
    </xf>
    <xf numFmtId="196" fontId="70" fillId="17" borderId="25" xfId="0" applyNumberFormat="1" applyFont="1" applyFill="1" applyBorder="1" applyAlignment="1" applyProtection="1">
      <alignment vertical="center"/>
      <protection/>
    </xf>
    <xf numFmtId="196" fontId="70" fillId="17" borderId="13" xfId="72" applyNumberFormat="1" applyFont="1" applyFill="1" applyBorder="1" applyAlignment="1" applyProtection="1">
      <alignment vertical="center"/>
      <protection/>
    </xf>
    <xf numFmtId="196" fontId="70" fillId="17" borderId="25" xfId="72" applyNumberFormat="1" applyFont="1" applyFill="1" applyBorder="1" applyAlignment="1" applyProtection="1">
      <alignment vertical="center"/>
      <protection/>
    </xf>
    <xf numFmtId="196" fontId="70" fillId="17" borderId="13" xfId="0" applyNumberFormat="1" applyFont="1" applyFill="1" applyBorder="1" applyAlignment="1" applyProtection="1">
      <alignment vertical="center"/>
      <protection locked="0"/>
    </xf>
    <xf numFmtId="196" fontId="70" fillId="17" borderId="25" xfId="0" applyNumberFormat="1" applyFont="1" applyFill="1" applyBorder="1" applyAlignment="1" applyProtection="1">
      <alignment vertical="center"/>
      <protection locked="0"/>
    </xf>
    <xf numFmtId="196" fontId="66" fillId="17" borderId="40" xfId="0" applyNumberFormat="1" applyFont="1" applyFill="1" applyBorder="1" applyAlignment="1" applyProtection="1">
      <alignment vertical="center"/>
      <protection/>
    </xf>
    <xf numFmtId="196" fontId="66" fillId="17" borderId="41" xfId="0" applyNumberFormat="1" applyFont="1" applyFill="1" applyBorder="1" applyAlignment="1" applyProtection="1">
      <alignment vertical="center"/>
      <protection/>
    </xf>
    <xf numFmtId="196" fontId="70" fillId="17" borderId="15" xfId="0" applyNumberFormat="1" applyFont="1" applyFill="1" applyBorder="1" applyAlignment="1" applyProtection="1">
      <alignment vertical="center"/>
      <protection/>
    </xf>
    <xf numFmtId="196" fontId="70" fillId="17" borderId="42" xfId="0" applyNumberFormat="1" applyFont="1" applyFill="1" applyBorder="1" applyAlignment="1" applyProtection="1">
      <alignment vertical="center"/>
      <protection/>
    </xf>
    <xf numFmtId="196" fontId="66" fillId="17" borderId="13" xfId="0" applyNumberFormat="1" applyFont="1" applyFill="1" applyBorder="1" applyAlignment="1" applyProtection="1">
      <alignment vertical="center"/>
      <protection/>
    </xf>
    <xf numFmtId="196" fontId="66" fillId="17" borderId="25" xfId="0" applyNumberFormat="1" applyFont="1" applyFill="1" applyBorder="1" applyAlignment="1" applyProtection="1">
      <alignment vertical="center"/>
      <protection/>
    </xf>
    <xf numFmtId="0" fontId="21" fillId="17" borderId="36" xfId="0" applyFont="1" applyFill="1" applyBorder="1" applyAlignment="1">
      <alignment horizontal="right"/>
    </xf>
    <xf numFmtId="0" fontId="21" fillId="17" borderId="4" xfId="0" applyFont="1" applyFill="1" applyBorder="1" applyAlignment="1">
      <alignment/>
    </xf>
    <xf numFmtId="197" fontId="30" fillId="17" borderId="36" xfId="0" applyNumberFormat="1" applyFont="1" applyFill="1" applyBorder="1" applyAlignment="1" applyProtection="1">
      <alignment horizontal="right"/>
      <protection locked="0"/>
    </xf>
    <xf numFmtId="197" fontId="30" fillId="17" borderId="4" xfId="0" applyNumberFormat="1" applyFont="1" applyFill="1" applyBorder="1" applyAlignment="1" applyProtection="1">
      <alignment/>
      <protection/>
    </xf>
    <xf numFmtId="197" fontId="73" fillId="17" borderId="44" xfId="0" applyNumberFormat="1" applyFont="1" applyFill="1" applyBorder="1" applyAlignment="1" applyProtection="1">
      <alignment/>
      <protection/>
    </xf>
    <xf numFmtId="197" fontId="73" fillId="17" borderId="45" xfId="0" applyNumberFormat="1" applyFont="1" applyFill="1" applyBorder="1" applyAlignment="1" applyProtection="1">
      <alignment/>
      <protection/>
    </xf>
    <xf numFmtId="0" fontId="41" fillId="17" borderId="0" xfId="0" applyFont="1" applyFill="1" applyAlignment="1">
      <alignment horizontal="right"/>
    </xf>
    <xf numFmtId="0" fontId="41" fillId="17" borderId="0" xfId="0" applyFont="1" applyFill="1" applyAlignment="1">
      <alignment/>
    </xf>
    <xf numFmtId="0" fontId="75" fillId="17" borderId="0" xfId="0" applyFont="1" applyFill="1" applyBorder="1" applyAlignment="1" applyProtection="1">
      <alignment/>
      <protection/>
    </xf>
    <xf numFmtId="0" fontId="75" fillId="17" borderId="0" xfId="0" applyFont="1" applyFill="1" applyBorder="1" applyAlignment="1" applyProtection="1">
      <alignment horizontal="left"/>
      <protection/>
    </xf>
    <xf numFmtId="0" fontId="76" fillId="17" borderId="14" xfId="0" applyFont="1" applyFill="1" applyBorder="1" applyAlignment="1" applyProtection="1">
      <alignment horizontal="center"/>
      <protection/>
    </xf>
    <xf numFmtId="0" fontId="76" fillId="17" borderId="13" xfId="0" applyFont="1" applyFill="1" applyBorder="1" applyAlignment="1" applyProtection="1">
      <alignment horizontal="center"/>
      <protection/>
    </xf>
    <xf numFmtId="183" fontId="77" fillId="17" borderId="13" xfId="0" applyNumberFormat="1" applyFont="1" applyFill="1" applyBorder="1" applyAlignment="1" applyProtection="1">
      <alignment horizontal="center"/>
      <protection/>
    </xf>
    <xf numFmtId="183" fontId="76" fillId="17" borderId="14" xfId="0" applyNumberFormat="1" applyFont="1" applyFill="1" applyBorder="1" applyAlignment="1" applyProtection="1">
      <alignment horizontal="center"/>
      <protection locked="0"/>
    </xf>
    <xf numFmtId="183" fontId="76" fillId="17" borderId="13" xfId="0" applyNumberFormat="1" applyFont="1" applyFill="1" applyBorder="1" applyAlignment="1" applyProtection="1">
      <alignment horizontal="center"/>
      <protection locked="0"/>
    </xf>
    <xf numFmtId="183" fontId="77" fillId="17" borderId="14" xfId="0" applyNumberFormat="1" applyFont="1" applyFill="1" applyBorder="1" applyAlignment="1" applyProtection="1">
      <alignment horizontal="center"/>
      <protection/>
    </xf>
    <xf numFmtId="183" fontId="73" fillId="17" borderId="14" xfId="72" applyNumberFormat="1" applyFont="1" applyFill="1" applyBorder="1" applyAlignment="1" applyProtection="1">
      <alignment horizontal="center"/>
      <protection/>
    </xf>
    <xf numFmtId="183" fontId="73" fillId="17" borderId="13" xfId="72" applyNumberFormat="1" applyFont="1" applyFill="1" applyBorder="1" applyAlignment="1" applyProtection="1">
      <alignment horizontal="center"/>
      <protection/>
    </xf>
    <xf numFmtId="183" fontId="77" fillId="17" borderId="13" xfId="0" applyNumberFormat="1" applyFont="1" applyFill="1" applyBorder="1" applyAlignment="1" applyProtection="1">
      <alignment horizontal="center"/>
      <protection locked="0"/>
    </xf>
    <xf numFmtId="183" fontId="77" fillId="17" borderId="14" xfId="0" applyNumberFormat="1" applyFont="1" applyFill="1" applyBorder="1" applyAlignment="1" applyProtection="1">
      <alignment horizontal="center"/>
      <protection locked="0"/>
    </xf>
    <xf numFmtId="183" fontId="71" fillId="17" borderId="14" xfId="0" applyNumberFormat="1" applyFont="1" applyFill="1" applyBorder="1" applyAlignment="1" applyProtection="1">
      <alignment horizontal="center"/>
      <protection locked="0"/>
    </xf>
    <xf numFmtId="183" fontId="71" fillId="17" borderId="13" xfId="0" applyNumberFormat="1" applyFont="1" applyFill="1" applyBorder="1" applyAlignment="1" applyProtection="1">
      <alignment horizontal="center"/>
      <protection locked="0"/>
    </xf>
    <xf numFmtId="0" fontId="77" fillId="17" borderId="47" xfId="0" applyFont="1" applyFill="1" applyBorder="1" applyAlignment="1" applyProtection="1">
      <alignment/>
      <protection/>
    </xf>
    <xf numFmtId="0" fontId="73" fillId="17" borderId="0" xfId="0" applyFont="1" applyFill="1" applyBorder="1" applyAlignment="1" applyProtection="1">
      <alignment/>
      <protection/>
    </xf>
    <xf numFmtId="0" fontId="73" fillId="17" borderId="47" xfId="0" applyFont="1" applyFill="1" applyBorder="1" applyAlignment="1" applyProtection="1">
      <alignment/>
      <protection/>
    </xf>
    <xf numFmtId="0" fontId="70" fillId="17" borderId="0" xfId="0" applyFont="1" applyFill="1" applyBorder="1" applyAlignment="1" applyProtection="1">
      <alignment/>
      <protection/>
    </xf>
    <xf numFmtId="0" fontId="70" fillId="17" borderId="47" xfId="0" applyFont="1" applyFill="1" applyBorder="1" applyAlignment="1" applyProtection="1">
      <alignment/>
      <protection/>
    </xf>
    <xf numFmtId="0" fontId="78" fillId="17" borderId="0" xfId="0" applyFont="1" applyFill="1" applyBorder="1" applyAlignment="1" applyProtection="1">
      <alignment/>
      <protection/>
    </xf>
    <xf numFmtId="37" fontId="76" fillId="17" borderId="15" xfId="0" applyNumberFormat="1" applyFont="1" applyFill="1" applyBorder="1" applyAlignment="1" applyProtection="1">
      <alignment/>
      <protection/>
    </xf>
    <xf numFmtId="183" fontId="76" fillId="17" borderId="13" xfId="0" applyNumberFormat="1" applyFont="1" applyFill="1" applyBorder="1" applyAlignment="1" applyProtection="1">
      <alignment/>
      <protection locked="0"/>
    </xf>
    <xf numFmtId="183" fontId="76" fillId="19" borderId="13" xfId="0" applyNumberFormat="1" applyFont="1" applyFill="1" applyBorder="1" applyAlignment="1" applyProtection="1">
      <alignment/>
      <protection/>
    </xf>
    <xf numFmtId="183" fontId="71" fillId="19" borderId="13" xfId="0" applyNumberFormat="1" applyFont="1" applyFill="1" applyBorder="1" applyAlignment="1" applyProtection="1">
      <alignment/>
      <protection/>
    </xf>
    <xf numFmtId="183" fontId="76" fillId="17" borderId="13" xfId="0" applyNumberFormat="1" applyFont="1" applyFill="1" applyBorder="1" applyAlignment="1" applyProtection="1">
      <alignment/>
      <protection/>
    </xf>
    <xf numFmtId="183" fontId="77" fillId="19" borderId="13" xfId="0" applyNumberFormat="1" applyFont="1" applyFill="1" applyBorder="1" applyAlignment="1" applyProtection="1">
      <alignment/>
      <protection/>
    </xf>
    <xf numFmtId="183" fontId="77" fillId="19" borderId="13" xfId="0" applyNumberFormat="1" applyFont="1" applyFill="1" applyBorder="1" applyAlignment="1" applyProtection="1">
      <alignment/>
      <protection locked="0"/>
    </xf>
    <xf numFmtId="0" fontId="25" fillId="17" borderId="13" xfId="0" applyFont="1" applyFill="1" applyBorder="1" applyAlignment="1" applyProtection="1">
      <alignment horizontal="center" wrapText="1"/>
      <protection/>
    </xf>
    <xf numFmtId="0" fontId="74" fillId="17" borderId="0" xfId="0" applyFont="1" applyFill="1" applyBorder="1" applyAlignment="1" applyProtection="1">
      <alignment horizontal="left"/>
      <protection/>
    </xf>
    <xf numFmtId="0" fontId="53" fillId="17" borderId="0" xfId="0" applyFont="1" applyFill="1" applyBorder="1" applyAlignment="1" applyProtection="1">
      <alignment horizontal="left"/>
      <protection/>
    </xf>
    <xf numFmtId="0" fontId="33" fillId="17" borderId="16" xfId="0" applyFont="1" applyFill="1" applyBorder="1" applyAlignment="1" applyProtection="1">
      <alignment horizontal="right" wrapText="1"/>
      <protection/>
    </xf>
    <xf numFmtId="0" fontId="57" fillId="17" borderId="0" xfId="0" applyFont="1" applyFill="1" applyBorder="1" applyAlignment="1" applyProtection="1">
      <alignment/>
      <protection/>
    </xf>
    <xf numFmtId="0" fontId="59" fillId="17" borderId="13" xfId="0" applyNumberFormat="1" applyFont="1" applyFill="1" applyBorder="1" applyAlignment="1" applyProtection="1">
      <alignment horizontal="center" vertical="center" wrapText="1"/>
      <protection/>
    </xf>
    <xf numFmtId="0" fontId="30" fillId="17" borderId="4" xfId="0" applyNumberFormat="1" applyFont="1" applyFill="1" applyBorder="1" applyAlignment="1" applyProtection="1">
      <alignment wrapText="1"/>
      <protection/>
    </xf>
    <xf numFmtId="0" fontId="37" fillId="17" borderId="0" xfId="0" applyFont="1" applyFill="1" applyBorder="1" applyAlignment="1" applyProtection="1">
      <alignment horizontal="left"/>
      <protection/>
    </xf>
    <xf numFmtId="0" fontId="25" fillId="17" borderId="13" xfId="0" applyFont="1" applyFill="1" applyBorder="1" applyAlignment="1" applyProtection="1">
      <alignment horizontal="center"/>
      <protection/>
    </xf>
    <xf numFmtId="0" fontId="23" fillId="17" borderId="30" xfId="0" applyFont="1" applyFill="1" applyBorder="1" applyAlignment="1" applyProtection="1">
      <alignment horizontal="center"/>
      <protection/>
    </xf>
    <xf numFmtId="0" fontId="20" fillId="17" borderId="0" xfId="72" applyNumberFormat="1" applyFont="1" applyFill="1" applyBorder="1" applyAlignment="1" applyProtection="1">
      <alignment horizontal="left"/>
      <protection/>
    </xf>
    <xf numFmtId="0" fontId="78" fillId="17" borderId="0" xfId="0" applyFont="1" applyFill="1" applyBorder="1" applyAlignment="1" applyProtection="1">
      <alignment horizontal="left"/>
      <protection/>
    </xf>
    <xf numFmtId="0" fontId="75" fillId="17" borderId="0" xfId="0" applyFont="1" applyFill="1" applyBorder="1" applyAlignment="1" applyProtection="1">
      <alignment horizontal="left"/>
      <protection/>
    </xf>
    <xf numFmtId="0" fontId="21" fillId="17" borderId="0" xfId="0" applyFont="1" applyFill="1" applyBorder="1" applyAlignment="1">
      <alignment horizontal="right"/>
    </xf>
    <xf numFmtId="0" fontId="21" fillId="17" borderId="0" xfId="0" applyFont="1" applyFill="1" applyBorder="1" applyAlignment="1">
      <alignment/>
    </xf>
    <xf numFmtId="0" fontId="30" fillId="17" borderId="0" xfId="0" applyNumberFormat="1" applyFont="1" applyFill="1" applyBorder="1" applyAlignment="1" applyProtection="1">
      <alignment wrapText="1"/>
      <protection/>
    </xf>
    <xf numFmtId="197" fontId="73" fillId="17" borderId="0" xfId="0" applyNumberFormat="1" applyFont="1" applyFill="1" applyBorder="1" applyAlignment="1" applyProtection="1">
      <alignment/>
      <protection/>
    </xf>
    <xf numFmtId="0" fontId="43" fillId="17" borderId="13" xfId="0" applyNumberFormat="1" applyFont="1" applyFill="1" applyBorder="1" applyAlignment="1" applyProtection="1">
      <alignment horizontal="left" vertical="center" wrapText="1"/>
      <protection/>
    </xf>
    <xf numFmtId="196" fontId="70" fillId="17" borderId="14" xfId="0" applyNumberFormat="1" applyFont="1" applyFill="1" applyBorder="1" applyAlignment="1" applyProtection="1">
      <alignment horizontal="right" wrapText="1"/>
      <protection/>
    </xf>
    <xf numFmtId="196" fontId="70" fillId="17" borderId="14" xfId="0" applyNumberFormat="1" applyFont="1" applyFill="1" applyBorder="1" applyAlignment="1" applyProtection="1">
      <alignment horizontal="right" wrapText="1"/>
      <protection locked="0"/>
    </xf>
    <xf numFmtId="196" fontId="73" fillId="17" borderId="14" xfId="0" applyNumberFormat="1" applyFont="1" applyFill="1" applyBorder="1" applyAlignment="1" applyProtection="1">
      <alignment horizontal="right" wrapText="1"/>
      <protection/>
    </xf>
    <xf numFmtId="196" fontId="66" fillId="17" borderId="48" xfId="0" applyNumberFormat="1" applyFont="1" applyFill="1" applyBorder="1" applyAlignment="1" applyProtection="1">
      <alignment horizontal="right" wrapText="1"/>
      <protection/>
    </xf>
    <xf numFmtId="196" fontId="66" fillId="17" borderId="17" xfId="0" applyNumberFormat="1" applyFont="1" applyFill="1" applyBorder="1" applyAlignment="1" applyProtection="1">
      <alignment horizontal="right" wrapText="1"/>
      <protection/>
    </xf>
    <xf numFmtId="196" fontId="70" fillId="17" borderId="14" xfId="0" applyNumberFormat="1" applyFont="1" applyFill="1" applyBorder="1" applyAlignment="1" applyProtection="1">
      <alignment/>
      <protection locked="0"/>
    </xf>
    <xf numFmtId="196" fontId="73" fillId="17" borderId="14" xfId="0" applyNumberFormat="1" applyFont="1" applyFill="1" applyBorder="1" applyAlignment="1" applyProtection="1">
      <alignment/>
      <protection/>
    </xf>
    <xf numFmtId="196" fontId="70" fillId="17" borderId="14" xfId="0" applyNumberFormat="1" applyFont="1" applyFill="1" applyBorder="1" applyAlignment="1" applyProtection="1">
      <alignment/>
      <protection/>
    </xf>
    <xf numFmtId="196" fontId="66" fillId="17" borderId="48" xfId="0" applyNumberFormat="1" applyFont="1" applyFill="1" applyBorder="1" applyAlignment="1" applyProtection="1">
      <alignment/>
      <protection/>
    </xf>
    <xf numFmtId="196" fontId="73" fillId="17" borderId="49" xfId="0" applyNumberFormat="1" applyFont="1" applyFill="1" applyBorder="1" applyAlignment="1">
      <alignment/>
    </xf>
    <xf numFmtId="0" fontId="60" fillId="17" borderId="13" xfId="0" applyNumberFormat="1" applyFont="1" applyFill="1" applyBorder="1" applyAlignment="1" applyProtection="1">
      <alignment horizontal="left" vertical="center" wrapText="1"/>
      <protection/>
    </xf>
    <xf numFmtId="0" fontId="21" fillId="17" borderId="13" xfId="0" applyNumberFormat="1" applyFont="1" applyFill="1" applyBorder="1" applyAlignment="1" applyProtection="1">
      <alignment horizontal="left" vertical="center" wrapText="1"/>
      <protection/>
    </xf>
    <xf numFmtId="0" fontId="21" fillId="17" borderId="13" xfId="0" applyNumberFormat="1" applyFont="1" applyFill="1" applyBorder="1" applyAlignment="1" applyProtection="1">
      <alignment vertical="center" wrapText="1"/>
      <protection/>
    </xf>
    <xf numFmtId="0" fontId="30" fillId="17" borderId="44" xfId="0" applyNumberFormat="1" applyFont="1" applyFill="1" applyBorder="1" applyAlignment="1" applyProtection="1">
      <alignment wrapText="1"/>
      <protection/>
    </xf>
    <xf numFmtId="0" fontId="43" fillId="17" borderId="15" xfId="0" applyNumberFormat="1" applyFont="1" applyFill="1" applyBorder="1" applyAlignment="1" applyProtection="1">
      <alignment horizontal="left" vertical="center" wrapText="1"/>
      <protection/>
    </xf>
    <xf numFmtId="0" fontId="38" fillId="17" borderId="40" xfId="0" applyNumberFormat="1" applyFont="1" applyFill="1" applyBorder="1" applyAlignment="1" applyProtection="1">
      <alignment horizontal="left" vertical="center" wrapText="1"/>
      <protection/>
    </xf>
    <xf numFmtId="196" fontId="66" fillId="17" borderId="41" xfId="0" applyNumberFormat="1" applyFont="1" applyFill="1" applyBorder="1" applyAlignment="1" applyProtection="1">
      <alignment horizontal="right" wrapText="1"/>
      <protection/>
    </xf>
    <xf numFmtId="196" fontId="66" fillId="17" borderId="49" xfId="0" applyNumberFormat="1" applyFont="1" applyFill="1" applyBorder="1" applyAlignment="1" applyProtection="1">
      <alignment/>
      <protection locked="0"/>
    </xf>
    <xf numFmtId="196" fontId="66" fillId="17" borderId="45" xfId="0" applyNumberFormat="1" applyFont="1" applyFill="1" applyBorder="1" applyAlignment="1" applyProtection="1">
      <alignment/>
      <protection locked="0"/>
    </xf>
    <xf numFmtId="0" fontId="59" fillId="17" borderId="15" xfId="0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NumberFormat="1" applyFont="1" applyFill="1" applyBorder="1" applyAlignment="1" applyProtection="1">
      <alignment vertical="center" wrapText="1"/>
      <protection/>
    </xf>
    <xf numFmtId="0" fontId="57" fillId="17" borderId="0" xfId="0" applyFont="1" applyFill="1" applyAlignment="1">
      <alignment/>
    </xf>
    <xf numFmtId="0" fontId="81" fillId="17" borderId="0" xfId="0" applyFont="1" applyFill="1" applyAlignment="1">
      <alignment/>
    </xf>
    <xf numFmtId="0" fontId="78" fillId="0" borderId="0" xfId="81" applyFont="1" applyFill="1" applyBorder="1">
      <alignment/>
      <protection/>
    </xf>
    <xf numFmtId="0" fontId="75" fillId="0" borderId="0" xfId="81" applyFont="1" applyBorder="1" applyAlignment="1">
      <alignment horizontal="center" wrapText="1"/>
      <protection/>
    </xf>
    <xf numFmtId="0" fontId="75" fillId="0" borderId="0" xfId="81" applyFont="1" applyBorder="1" applyAlignment="1">
      <alignment horizontal="center"/>
      <protection/>
    </xf>
    <xf numFmtId="0" fontId="75" fillId="0" borderId="0" xfId="81" applyFont="1" applyBorder="1">
      <alignment/>
      <protection/>
    </xf>
    <xf numFmtId="0" fontId="53" fillId="17" borderId="0" xfId="0" applyFont="1" applyFill="1" applyBorder="1" applyAlignment="1" applyProtection="1">
      <alignment horizontal="right"/>
      <protection/>
    </xf>
    <xf numFmtId="0" fontId="53" fillId="17" borderId="0" xfId="0" applyFont="1" applyFill="1" applyBorder="1" applyAlignment="1" applyProtection="1">
      <alignment/>
      <protection/>
    </xf>
    <xf numFmtId="0" fontId="78" fillId="0" borderId="0" xfId="82" applyFont="1" applyFill="1" applyBorder="1" applyAlignment="1">
      <alignment vertical="center"/>
      <protection/>
    </xf>
    <xf numFmtId="0" fontId="39" fillId="17" borderId="0" xfId="0" applyFont="1" applyFill="1" applyBorder="1" applyAlignment="1" applyProtection="1">
      <alignment/>
      <protection/>
    </xf>
    <xf numFmtId="0" fontId="39" fillId="17" borderId="0" xfId="0" applyFont="1" applyFill="1" applyBorder="1" applyAlignment="1" applyProtection="1">
      <alignment horizontal="right"/>
      <protection/>
    </xf>
    <xf numFmtId="0" fontId="74" fillId="17" borderId="0" xfId="0" applyNumberFormat="1" applyFont="1" applyFill="1" applyBorder="1" applyAlignment="1" applyProtection="1">
      <alignment wrapText="1"/>
      <protection/>
    </xf>
    <xf numFmtId="196" fontId="74" fillId="17" borderId="0" xfId="0" applyNumberFormat="1" applyFont="1" applyFill="1" applyBorder="1" applyAlignment="1">
      <alignment/>
    </xf>
    <xf numFmtId="197" fontId="74" fillId="17" borderId="0" xfId="0" applyNumberFormat="1" applyFont="1" applyFill="1" applyBorder="1" applyAlignment="1" applyProtection="1">
      <alignment/>
      <protection/>
    </xf>
    <xf numFmtId="197" fontId="74" fillId="17" borderId="0" xfId="0" applyNumberFormat="1" applyFont="1" applyFill="1" applyBorder="1" applyAlignment="1" applyProtection="1">
      <alignment horizontal="right"/>
      <protection locked="0"/>
    </xf>
    <xf numFmtId="0" fontId="80" fillId="17" borderId="0" xfId="0" applyFont="1" applyFill="1" applyBorder="1" applyAlignment="1" applyProtection="1">
      <alignment horizontal="right"/>
      <protection/>
    </xf>
    <xf numFmtId="0" fontId="80" fillId="17" borderId="0" xfId="0" applyFont="1" applyFill="1" applyBorder="1" applyAlignment="1" applyProtection="1">
      <alignment/>
      <protection/>
    </xf>
    <xf numFmtId="0" fontId="74" fillId="17" borderId="0" xfId="0" applyFont="1" applyFill="1" applyBorder="1" applyAlignment="1" applyProtection="1">
      <alignment/>
      <protection/>
    </xf>
    <xf numFmtId="0" fontId="74" fillId="17" borderId="0" xfId="0" applyFont="1" applyFill="1" applyBorder="1" applyAlignment="1" applyProtection="1">
      <alignment horizontal="right"/>
      <protection/>
    </xf>
    <xf numFmtId="0" fontId="74" fillId="17" borderId="0" xfId="0" applyFont="1" applyFill="1" applyBorder="1" applyAlignment="1" applyProtection="1">
      <alignment/>
      <protection/>
    </xf>
    <xf numFmtId="0" fontId="75" fillId="17" borderId="0" xfId="0" applyFont="1" applyFill="1" applyBorder="1" applyAlignment="1" applyProtection="1">
      <alignment/>
      <protection/>
    </xf>
    <xf numFmtId="0" fontId="75" fillId="17" borderId="0" xfId="0" applyFont="1" applyFill="1" applyBorder="1" applyAlignment="1" applyProtection="1">
      <alignment horizontal="right"/>
      <protection/>
    </xf>
    <xf numFmtId="0" fontId="39" fillId="17" borderId="0" xfId="0" applyFont="1" applyFill="1" applyBorder="1" applyAlignment="1" applyProtection="1">
      <alignment/>
      <protection/>
    </xf>
    <xf numFmtId="0" fontId="80" fillId="17" borderId="0" xfId="0" applyFont="1" applyFill="1" applyBorder="1" applyAlignment="1" applyProtection="1">
      <alignment horizontal="left"/>
      <protection/>
    </xf>
    <xf numFmtId="0" fontId="42" fillId="0" borderId="0" xfId="81" applyFont="1" applyFill="1" applyBorder="1">
      <alignment/>
      <protection/>
    </xf>
    <xf numFmtId="0" fontId="41" fillId="0" borderId="0" xfId="81" applyFont="1" applyBorder="1" applyAlignment="1">
      <alignment horizontal="center" wrapText="1"/>
      <protection/>
    </xf>
    <xf numFmtId="0" fontId="41" fillId="0" borderId="0" xfId="81" applyFont="1" applyBorder="1" applyAlignment="1">
      <alignment horizontal="center"/>
      <protection/>
    </xf>
    <xf numFmtId="0" fontId="41" fillId="0" borderId="0" xfId="81" applyFont="1" applyBorder="1">
      <alignment/>
      <protection/>
    </xf>
    <xf numFmtId="0" fontId="42" fillId="0" borderId="0" xfId="82" applyFont="1" applyFill="1" applyBorder="1" applyAlignment="1">
      <alignment vertical="center"/>
      <protection/>
    </xf>
    <xf numFmtId="0" fontId="83" fillId="17" borderId="0" xfId="0" applyFont="1" applyFill="1" applyBorder="1" applyAlignment="1" applyProtection="1">
      <alignment/>
      <protection/>
    </xf>
    <xf numFmtId="0" fontId="138" fillId="17" borderId="0" xfId="0" applyFont="1" applyFill="1" applyBorder="1" applyAlignment="1" applyProtection="1">
      <alignment/>
      <protection/>
    </xf>
    <xf numFmtId="0" fontId="84" fillId="17" borderId="0" xfId="0" applyFont="1" applyFill="1" applyBorder="1" applyAlignment="1" applyProtection="1">
      <alignment/>
      <protection/>
    </xf>
    <xf numFmtId="0" fontId="86" fillId="17" borderId="0" xfId="0" applyFont="1" applyFill="1" applyBorder="1" applyAlignment="1" applyProtection="1">
      <alignment/>
      <protection/>
    </xf>
    <xf numFmtId="0" fontId="85" fillId="17" borderId="0" xfId="0" applyFont="1" applyFill="1" applyBorder="1" applyAlignment="1" applyProtection="1">
      <alignment horizontal="left"/>
      <protection/>
    </xf>
    <xf numFmtId="0" fontId="87" fillId="0" borderId="0" xfId="81" applyFont="1" applyFill="1" applyBorder="1">
      <alignment/>
      <protection/>
    </xf>
    <xf numFmtId="0" fontId="88" fillId="0" borderId="0" xfId="81" applyFont="1" applyBorder="1" applyAlignment="1">
      <alignment horizontal="center" wrapText="1"/>
      <protection/>
    </xf>
    <xf numFmtId="0" fontId="88" fillId="0" borderId="0" xfId="81" applyFont="1" applyBorder="1" applyAlignment="1">
      <alignment horizontal="center"/>
      <protection/>
    </xf>
    <xf numFmtId="0" fontId="88" fillId="0" borderId="0" xfId="81" applyFont="1" applyBorder="1">
      <alignment/>
      <protection/>
    </xf>
    <xf numFmtId="0" fontId="86" fillId="17" borderId="0" xfId="0" applyFont="1" applyFill="1" applyBorder="1" applyAlignment="1" applyProtection="1">
      <alignment horizontal="right"/>
      <protection/>
    </xf>
    <xf numFmtId="0" fontId="87" fillId="0" borderId="0" xfId="82" applyFont="1" applyFill="1" applyBorder="1" applyAlignment="1">
      <alignment vertical="center"/>
      <protection/>
    </xf>
    <xf numFmtId="0" fontId="84" fillId="17" borderId="0" xfId="0" applyFont="1" applyFill="1" applyBorder="1" applyAlignment="1" applyProtection="1">
      <alignment horizontal="right"/>
      <protection/>
    </xf>
    <xf numFmtId="0" fontId="84" fillId="17" borderId="0" xfId="0" applyFont="1" applyFill="1" applyBorder="1" applyAlignment="1" applyProtection="1">
      <alignment horizontal="left"/>
      <protection/>
    </xf>
    <xf numFmtId="0" fontId="85" fillId="17" borderId="0" xfId="0" applyFont="1" applyFill="1" applyBorder="1" applyAlignment="1" applyProtection="1">
      <alignment/>
      <protection/>
    </xf>
    <xf numFmtId="0" fontId="88" fillId="17" borderId="0" xfId="0" applyFont="1" applyFill="1" applyBorder="1" applyAlignment="1" applyProtection="1">
      <alignment/>
      <protection/>
    </xf>
    <xf numFmtId="0" fontId="83" fillId="17" borderId="0" xfId="0" applyFont="1" applyFill="1" applyBorder="1" applyAlignment="1" applyProtection="1">
      <alignment horizontal="left"/>
      <protection/>
    </xf>
    <xf numFmtId="0" fontId="89" fillId="17" borderId="0" xfId="0" applyFont="1" applyFill="1" applyBorder="1" applyAlignment="1" applyProtection="1">
      <alignment horizontal="left"/>
      <protection/>
    </xf>
    <xf numFmtId="0" fontId="25" fillId="17" borderId="17" xfId="0" applyFont="1" applyFill="1" applyBorder="1" applyAlignment="1" applyProtection="1">
      <alignment horizontal="center"/>
      <protection locked="0"/>
    </xf>
    <xf numFmtId="0" fontId="41" fillId="17" borderId="0" xfId="0" applyFont="1" applyFill="1" applyBorder="1" applyAlignment="1" applyProtection="1">
      <alignment horizontal="left"/>
      <protection/>
    </xf>
    <xf numFmtId="0" fontId="30" fillId="17" borderId="13" xfId="0" applyNumberFormat="1" applyFont="1" applyFill="1" applyBorder="1" applyAlignment="1" applyProtection="1">
      <alignment horizontal="center" vertical="center" wrapText="1"/>
      <protection/>
    </xf>
    <xf numFmtId="0" fontId="33" fillId="17" borderId="40" xfId="0" applyNumberFormat="1" applyFont="1" applyFill="1" applyBorder="1" applyAlignment="1" applyProtection="1">
      <alignment horizontal="center" vertical="center" wrapText="1"/>
      <protection/>
    </xf>
    <xf numFmtId="0" fontId="43" fillId="17" borderId="13" xfId="0" applyNumberFormat="1" applyFont="1" applyFill="1" applyBorder="1" applyAlignment="1" applyProtection="1">
      <alignment horizontal="center" vertical="center" wrapText="1"/>
      <protection/>
    </xf>
    <xf numFmtId="0" fontId="30" fillId="17" borderId="44" xfId="0" applyNumberFormat="1" applyFont="1" applyFill="1" applyBorder="1" applyAlignment="1" applyProtection="1">
      <alignment horizontal="center" vertical="center" wrapText="1"/>
      <protection/>
    </xf>
    <xf numFmtId="0" fontId="28" fillId="17" borderId="14" xfId="0" applyFont="1" applyFill="1" applyBorder="1" applyAlignment="1" applyProtection="1">
      <alignment horizontal="center"/>
      <protection locked="0"/>
    </xf>
    <xf numFmtId="0" fontId="23" fillId="17" borderId="14" xfId="0" applyFont="1" applyFill="1" applyBorder="1" applyAlignment="1" applyProtection="1">
      <alignment horizontal="center"/>
      <protection locked="0"/>
    </xf>
    <xf numFmtId="0" fontId="28" fillId="17" borderId="14" xfId="0" applyFont="1" applyFill="1" applyBorder="1" applyAlignment="1" applyProtection="1">
      <alignment horizontal="center" wrapText="1"/>
      <protection locked="0"/>
    </xf>
    <xf numFmtId="0" fontId="26" fillId="17" borderId="14" xfId="0" applyFont="1" applyFill="1" applyBorder="1" applyAlignment="1" applyProtection="1">
      <alignment horizontal="center"/>
      <protection locked="0"/>
    </xf>
    <xf numFmtId="0" fontId="33" fillId="17" borderId="16" xfId="0" applyNumberFormat="1" applyFont="1" applyFill="1" applyBorder="1" applyAlignment="1" applyProtection="1">
      <alignment horizontal="right"/>
      <protection/>
    </xf>
    <xf numFmtId="0" fontId="28" fillId="17" borderId="21" xfId="0" applyFont="1" applyFill="1" applyBorder="1" applyAlignment="1" applyProtection="1">
      <alignment horizontal="center"/>
      <protection locked="0"/>
    </xf>
    <xf numFmtId="0" fontId="28" fillId="17" borderId="17" xfId="0" applyFont="1" applyFill="1" applyBorder="1" applyAlignment="1" applyProtection="1">
      <alignment horizontal="center"/>
      <protection/>
    </xf>
    <xf numFmtId="0" fontId="24" fillId="17" borderId="14" xfId="0" applyFont="1" applyFill="1" applyBorder="1" applyAlignment="1" applyProtection="1">
      <alignment horizontal="center"/>
      <protection locked="0"/>
    </xf>
    <xf numFmtId="0" fontId="24" fillId="17" borderId="14" xfId="0" applyFont="1" applyFill="1" applyBorder="1" applyAlignment="1" applyProtection="1">
      <alignment horizontal="center" wrapText="1"/>
      <protection locked="0"/>
    </xf>
    <xf numFmtId="0" fontId="53" fillId="17" borderId="14" xfId="0" applyFont="1" applyFill="1" applyBorder="1" applyAlignment="1" applyProtection="1">
      <alignment/>
      <protection locked="0"/>
    </xf>
    <xf numFmtId="183" fontId="80" fillId="17" borderId="14" xfId="0" applyNumberFormat="1" applyFont="1" applyFill="1" applyBorder="1" applyAlignment="1" applyProtection="1">
      <alignment horizontal="center"/>
      <protection locked="0"/>
    </xf>
    <xf numFmtId="183" fontId="80" fillId="17" borderId="13" xfId="0" applyNumberFormat="1" applyFont="1" applyFill="1" applyBorder="1" applyAlignment="1" applyProtection="1">
      <alignment horizontal="center"/>
      <protection locked="0"/>
    </xf>
    <xf numFmtId="183" fontId="80" fillId="19" borderId="13" xfId="0" applyNumberFormat="1" applyFont="1" applyFill="1" applyBorder="1" applyAlignment="1" applyProtection="1">
      <alignment horizontal="center"/>
      <protection/>
    </xf>
    <xf numFmtId="0" fontId="42" fillId="17" borderId="14" xfId="0" applyFont="1" applyFill="1" applyBorder="1" applyAlignment="1" applyProtection="1">
      <alignment/>
      <protection locked="0"/>
    </xf>
    <xf numFmtId="183" fontId="42" fillId="17" borderId="14" xfId="0" applyNumberFormat="1" applyFont="1" applyFill="1" applyBorder="1" applyAlignment="1" applyProtection="1">
      <alignment horizontal="center"/>
      <protection locked="0"/>
    </xf>
    <xf numFmtId="183" fontId="42" fillId="17" borderId="13" xfId="0" applyNumberFormat="1" applyFont="1" applyFill="1" applyBorder="1" applyAlignment="1" applyProtection="1">
      <alignment horizontal="center"/>
      <protection locked="0"/>
    </xf>
    <xf numFmtId="0" fontId="39" fillId="17" borderId="14" xfId="0" applyFont="1" applyFill="1" applyBorder="1" applyAlignment="1" applyProtection="1">
      <alignment wrapText="1"/>
      <protection locked="0"/>
    </xf>
    <xf numFmtId="183" fontId="80" fillId="19" borderId="14" xfId="0" applyNumberFormat="1" applyFont="1" applyFill="1" applyBorder="1" applyAlignment="1" applyProtection="1">
      <alignment horizontal="center"/>
      <protection/>
    </xf>
    <xf numFmtId="183" fontId="42" fillId="17" borderId="13" xfId="0" applyNumberFormat="1" applyFont="1" applyFill="1" applyBorder="1" applyAlignment="1" applyProtection="1">
      <alignment horizontal="center"/>
      <protection/>
    </xf>
    <xf numFmtId="0" fontId="80" fillId="17" borderId="14" xfId="0" applyFont="1" applyFill="1" applyBorder="1" applyAlignment="1" applyProtection="1">
      <alignment horizontal="center"/>
      <protection locked="0"/>
    </xf>
    <xf numFmtId="0" fontId="0" fillId="17" borderId="0" xfId="0" applyFont="1" applyFill="1" applyAlignment="1">
      <alignment/>
    </xf>
    <xf numFmtId="0" fontId="90" fillId="17" borderId="0" xfId="0" applyFont="1" applyFill="1" applyBorder="1" applyAlignment="1" applyProtection="1">
      <alignment horizontal="center"/>
      <protection/>
    </xf>
    <xf numFmtId="0" fontId="90" fillId="17" borderId="0" xfId="0" applyFont="1" applyFill="1" applyBorder="1" applyAlignment="1" applyProtection="1">
      <alignment horizontal="center"/>
      <protection/>
    </xf>
    <xf numFmtId="0" fontId="27" fillId="17" borderId="0" xfId="0" applyFont="1" applyFill="1" applyBorder="1" applyAlignment="1" applyProtection="1">
      <alignment horizontal="right"/>
      <protection/>
    </xf>
    <xf numFmtId="0" fontId="72" fillId="17" borderId="0" xfId="0" applyFont="1" applyFill="1" applyBorder="1" applyAlignment="1" applyProtection="1">
      <alignment horizontal="center"/>
      <protection/>
    </xf>
    <xf numFmtId="0" fontId="21" fillId="17" borderId="19" xfId="0" applyNumberFormat="1" applyFont="1" applyFill="1" applyBorder="1" applyAlignment="1" applyProtection="1">
      <alignment vertical="center" wrapText="1"/>
      <protection/>
    </xf>
    <xf numFmtId="0" fontId="74" fillId="17" borderId="0" xfId="83" applyFont="1" applyFill="1" applyBorder="1" applyProtection="1">
      <alignment/>
      <protection/>
    </xf>
    <xf numFmtId="0" fontId="37" fillId="17" borderId="0" xfId="0" applyFont="1" applyFill="1" applyBorder="1" applyAlignment="1" applyProtection="1">
      <alignment horizontal="left"/>
      <protection/>
    </xf>
    <xf numFmtId="0" fontId="21" fillId="17" borderId="35" xfId="0" applyFont="1" applyFill="1" applyBorder="1" applyAlignment="1" applyProtection="1">
      <alignment horizontal="right" vertical="center"/>
      <protection/>
    </xf>
    <xf numFmtId="0" fontId="21" fillId="17" borderId="0" xfId="0" applyFont="1" applyFill="1" applyBorder="1" applyAlignment="1" applyProtection="1">
      <alignment vertical="center"/>
      <protection/>
    </xf>
    <xf numFmtId="0" fontId="21" fillId="17" borderId="50" xfId="0" applyNumberFormat="1" applyFont="1" applyFill="1" applyBorder="1" applyAlignment="1" applyProtection="1">
      <alignment vertical="center" wrapText="1"/>
      <protection/>
    </xf>
    <xf numFmtId="196" fontId="70" fillId="17" borderId="50" xfId="0" applyNumberFormat="1" applyFont="1" applyFill="1" applyBorder="1" applyAlignment="1" applyProtection="1">
      <alignment vertical="center"/>
      <protection locked="0"/>
    </xf>
    <xf numFmtId="196" fontId="70" fillId="17" borderId="51" xfId="0" applyNumberFormat="1" applyFont="1" applyFill="1" applyBorder="1" applyAlignment="1" applyProtection="1">
      <alignment vertical="center"/>
      <protection locked="0"/>
    </xf>
    <xf numFmtId="183" fontId="76" fillId="17" borderId="13" xfId="0" applyNumberFormat="1" applyFont="1" applyFill="1" applyBorder="1" applyAlignment="1" applyProtection="1">
      <alignment horizontal="center"/>
      <protection/>
    </xf>
    <xf numFmtId="0" fontId="25" fillId="17" borderId="22" xfId="0" applyFont="1" applyFill="1" applyBorder="1" applyAlignment="1" applyProtection="1">
      <alignment/>
      <protection/>
    </xf>
    <xf numFmtId="0" fontId="127" fillId="17" borderId="19" xfId="0" applyFont="1" applyFill="1" applyBorder="1" applyAlignment="1" applyProtection="1">
      <alignment/>
      <protection/>
    </xf>
    <xf numFmtId="0" fontId="26" fillId="17" borderId="21" xfId="0" applyFont="1" applyFill="1" applyBorder="1" applyAlignment="1" applyProtection="1">
      <alignment/>
      <protection locked="0"/>
    </xf>
    <xf numFmtId="0" fontId="25" fillId="17" borderId="18" xfId="0" applyFont="1" applyFill="1" applyBorder="1" applyAlignment="1" applyProtection="1">
      <alignment/>
      <protection/>
    </xf>
    <xf numFmtId="0" fontId="26" fillId="17" borderId="17" xfId="0" applyFont="1" applyFill="1" applyBorder="1" applyAlignment="1" applyProtection="1">
      <alignment/>
      <protection locked="0"/>
    </xf>
    <xf numFmtId="0" fontId="28" fillId="17" borderId="16" xfId="0" applyFont="1" applyFill="1" applyBorder="1" applyAlignment="1" applyProtection="1">
      <alignment horizontal="center"/>
      <protection locked="0"/>
    </xf>
    <xf numFmtId="0" fontId="28" fillId="17" borderId="13" xfId="0" applyFont="1" applyFill="1" applyBorder="1" applyAlignment="1" applyProtection="1">
      <alignment/>
      <protection/>
    </xf>
    <xf numFmtId="0" fontId="77" fillId="17" borderId="13" xfId="0" applyFont="1" applyFill="1" applyBorder="1" applyAlignment="1" applyProtection="1">
      <alignment/>
      <protection/>
    </xf>
    <xf numFmtId="183" fontId="77" fillId="17" borderId="0" xfId="0" applyNumberFormat="1" applyFont="1" applyFill="1" applyBorder="1" applyAlignment="1" applyProtection="1">
      <alignment horizontal="center"/>
      <protection/>
    </xf>
    <xf numFmtId="183" fontId="77" fillId="17" borderId="21" xfId="0" applyNumberFormat="1" applyFont="1" applyFill="1" applyBorder="1" applyAlignment="1" applyProtection="1">
      <alignment horizontal="center"/>
      <protection/>
    </xf>
    <xf numFmtId="183" fontId="77" fillId="17" borderId="20" xfId="0" applyNumberFormat="1" applyFont="1" applyFill="1" applyBorder="1" applyAlignment="1" applyProtection="1">
      <alignment horizontal="center"/>
      <protection/>
    </xf>
    <xf numFmtId="0" fontId="134" fillId="17" borderId="36" xfId="0" applyFont="1" applyFill="1" applyBorder="1" applyAlignment="1" applyProtection="1">
      <alignment horizontal="right"/>
      <protection/>
    </xf>
    <xf numFmtId="0" fontId="139" fillId="17" borderId="4" xfId="0" applyFont="1" applyFill="1" applyBorder="1" applyAlignment="1" applyProtection="1">
      <alignment/>
      <protection/>
    </xf>
    <xf numFmtId="0" fontId="28" fillId="17" borderId="49" xfId="0" applyFont="1" applyFill="1" applyBorder="1" applyAlignment="1" applyProtection="1">
      <alignment/>
      <protection/>
    </xf>
    <xf numFmtId="0" fontId="28" fillId="17" borderId="49" xfId="0" applyFont="1" applyFill="1" applyBorder="1" applyAlignment="1" applyProtection="1">
      <alignment horizontal="center"/>
      <protection/>
    </xf>
    <xf numFmtId="183" fontId="77" fillId="17" borderId="49" xfId="0" applyNumberFormat="1" applyFont="1" applyFill="1" applyBorder="1" applyAlignment="1" applyProtection="1">
      <alignment horizontal="center"/>
      <protection/>
    </xf>
    <xf numFmtId="183" fontId="77" fillId="17" borderId="45" xfId="0" applyNumberFormat="1" applyFont="1" applyFill="1" applyBorder="1" applyAlignment="1" applyProtection="1">
      <alignment horizontal="center"/>
      <protection/>
    </xf>
    <xf numFmtId="0" fontId="30" fillId="17" borderId="4" xfId="0" applyFont="1" applyFill="1" applyBorder="1" applyAlignment="1" applyProtection="1">
      <alignment/>
      <protection/>
    </xf>
    <xf numFmtId="0" fontId="28" fillId="17" borderId="49" xfId="0" applyFont="1" applyFill="1" applyBorder="1" applyAlignment="1" applyProtection="1">
      <alignment/>
      <protection locked="0"/>
    </xf>
    <xf numFmtId="183" fontId="77" fillId="17" borderId="44" xfId="0" applyNumberFormat="1" applyFont="1" applyFill="1" applyBorder="1" applyAlignment="1" applyProtection="1">
      <alignment horizontal="center"/>
      <protection/>
    </xf>
    <xf numFmtId="0" fontId="77" fillId="17" borderId="13" xfId="0" applyFont="1" applyFill="1" applyBorder="1" applyAlignment="1" applyProtection="1">
      <alignment horizontal="center"/>
      <protection/>
    </xf>
    <xf numFmtId="0" fontId="25" fillId="17" borderId="13" xfId="0" applyFont="1" applyFill="1" applyBorder="1" applyAlignment="1" applyProtection="1">
      <alignment horizontal="right"/>
      <protection/>
    </xf>
    <xf numFmtId="183" fontId="77" fillId="17" borderId="14" xfId="0" applyNumberFormat="1" applyFont="1" applyFill="1" applyBorder="1" applyAlignment="1" applyProtection="1">
      <alignment horizontal="right"/>
      <protection/>
    </xf>
    <xf numFmtId="183" fontId="76" fillId="17" borderId="14" xfId="0" applyNumberFormat="1" applyFont="1" applyFill="1" applyBorder="1" applyAlignment="1" applyProtection="1">
      <alignment horizontal="right"/>
      <protection locked="0"/>
    </xf>
    <xf numFmtId="183" fontId="76" fillId="17" borderId="14" xfId="0" applyNumberFormat="1" applyFont="1" applyFill="1" applyBorder="1" applyAlignment="1" applyProtection="1">
      <alignment horizontal="right"/>
      <protection/>
    </xf>
    <xf numFmtId="183" fontId="77" fillId="17" borderId="14" xfId="0" applyNumberFormat="1" applyFont="1" applyFill="1" applyBorder="1" applyAlignment="1" applyProtection="1">
      <alignment horizontal="right"/>
      <protection locked="0"/>
    </xf>
    <xf numFmtId="0" fontId="77" fillId="17" borderId="13" xfId="0" applyFont="1" applyFill="1" applyBorder="1" applyAlignment="1" applyProtection="1">
      <alignment horizontal="right"/>
      <protection/>
    </xf>
    <xf numFmtId="183" fontId="77" fillId="17" borderId="13" xfId="0" applyNumberFormat="1" applyFont="1" applyFill="1" applyBorder="1" applyAlignment="1" applyProtection="1">
      <alignment horizontal="right"/>
      <protection/>
    </xf>
    <xf numFmtId="0" fontId="140" fillId="18" borderId="0" xfId="0" applyFont="1" applyFill="1" applyAlignment="1" applyProtection="1">
      <alignment horizontal="center"/>
      <protection/>
    </xf>
    <xf numFmtId="0" fontId="131" fillId="18" borderId="0" xfId="0" applyFont="1" applyFill="1" applyBorder="1" applyAlignment="1" applyProtection="1">
      <alignment horizontal="center" wrapText="1"/>
      <protection/>
    </xf>
    <xf numFmtId="0" fontId="122" fillId="18" borderId="0" xfId="72" applyFont="1" applyFill="1" applyAlignment="1" applyProtection="1">
      <alignment horizontal="center" vertical="top" wrapText="1"/>
      <protection/>
    </xf>
    <xf numFmtId="0" fontId="132" fillId="18" borderId="0" xfId="0" applyFont="1" applyFill="1" applyBorder="1" applyAlignment="1" applyProtection="1">
      <alignment horizontal="center" wrapText="1"/>
      <protection/>
    </xf>
    <xf numFmtId="0" fontId="122" fillId="18" borderId="0" xfId="0" applyFont="1" applyFill="1" applyBorder="1" applyAlignment="1" applyProtection="1">
      <alignment horizontal="center" wrapText="1"/>
      <protection/>
    </xf>
    <xf numFmtId="0" fontId="141" fillId="18" borderId="0" xfId="0" applyFont="1" applyFill="1" applyBorder="1" applyAlignment="1" applyProtection="1">
      <alignment horizontal="center" vertical="top" wrapText="1"/>
      <protection/>
    </xf>
    <xf numFmtId="0" fontId="142" fillId="18" borderId="0" xfId="0" applyFont="1" applyFill="1" applyAlignment="1" applyProtection="1">
      <alignment horizontal="center" vertical="top"/>
      <protection/>
    </xf>
    <xf numFmtId="0" fontId="0" fillId="18" borderId="0" xfId="0" applyFill="1" applyAlignment="1" applyProtection="1">
      <alignment horizontal="center" wrapText="1"/>
      <protection/>
    </xf>
    <xf numFmtId="0" fontId="122" fillId="18" borderId="0" xfId="0" applyFont="1" applyFill="1" applyAlignment="1" applyProtection="1">
      <alignment horizontal="left" wrapText="1"/>
      <protection/>
    </xf>
    <xf numFmtId="0" fontId="20" fillId="0" borderId="0" xfId="72" applyNumberFormat="1" applyFont="1" applyFill="1" applyBorder="1" applyAlignment="1" applyProtection="1">
      <alignment/>
      <protection/>
    </xf>
    <xf numFmtId="0" fontId="50" fillId="0" borderId="0" xfId="0" applyFont="1" applyBorder="1" applyAlignment="1">
      <alignment horizontal="left"/>
    </xf>
    <xf numFmtId="174" fontId="31" fillId="0" borderId="0" xfId="72" applyNumberFormat="1" applyFont="1" applyFill="1" applyBorder="1" applyAlignment="1" applyProtection="1">
      <alignment/>
      <protection/>
    </xf>
    <xf numFmtId="0" fontId="59" fillId="17" borderId="19" xfId="0" applyNumberFormat="1" applyFont="1" applyFill="1" applyBorder="1" applyAlignment="1" applyProtection="1">
      <alignment horizontal="center" vertical="center" wrapText="1"/>
      <protection/>
    </xf>
    <xf numFmtId="0" fontId="59" fillId="17" borderId="17" xfId="0" applyNumberFormat="1" applyFont="1" applyFill="1" applyBorder="1" applyAlignment="1" applyProtection="1">
      <alignment horizontal="center" vertical="center" wrapText="1"/>
      <protection/>
    </xf>
    <xf numFmtId="0" fontId="59" fillId="17" borderId="42" xfId="0" applyNumberFormat="1" applyFont="1" applyFill="1" applyBorder="1" applyAlignment="1" applyProtection="1">
      <alignment horizontal="center" vertical="center" wrapText="1"/>
      <protection/>
    </xf>
    <xf numFmtId="0" fontId="59" fillId="17" borderId="14" xfId="0" applyNumberFormat="1" applyFont="1" applyFill="1" applyBorder="1" applyAlignment="1" applyProtection="1">
      <alignment horizontal="center" vertical="center" wrapText="1"/>
      <protection/>
    </xf>
    <xf numFmtId="0" fontId="59" fillId="17" borderId="25" xfId="0" applyNumberFormat="1" applyFont="1" applyFill="1" applyBorder="1" applyAlignment="1" applyProtection="1">
      <alignment horizontal="center" vertical="center" wrapText="1"/>
      <protection/>
    </xf>
    <xf numFmtId="0" fontId="58" fillId="17" borderId="52" xfId="0" applyNumberFormat="1" applyFont="1" applyFill="1" applyBorder="1" applyAlignment="1" applyProtection="1">
      <alignment horizontal="center" vertical="center" wrapText="1"/>
      <protection/>
    </xf>
    <xf numFmtId="0" fontId="58" fillId="17" borderId="53" xfId="0" applyNumberFormat="1" applyFont="1" applyFill="1" applyBorder="1" applyAlignment="1" applyProtection="1">
      <alignment horizontal="center" vertical="center" wrapText="1"/>
      <protection/>
    </xf>
    <xf numFmtId="0" fontId="59" fillId="17" borderId="18" xfId="0" applyNumberFormat="1" applyFont="1" applyFill="1" applyBorder="1" applyAlignment="1" applyProtection="1">
      <alignment horizontal="center" vertical="center" wrapText="1"/>
      <protection/>
    </xf>
    <xf numFmtId="0" fontId="58" fillId="17" borderId="54" xfId="0" applyNumberFormat="1" applyFont="1" applyFill="1" applyBorder="1" applyAlignment="1" applyProtection="1">
      <alignment horizontal="center" vertical="center" wrapText="1"/>
      <protection/>
    </xf>
    <xf numFmtId="0" fontId="58" fillId="17" borderId="55" xfId="0" applyNumberFormat="1" applyFont="1" applyFill="1" applyBorder="1" applyAlignment="1" applyProtection="1">
      <alignment horizontal="center" vertical="center" wrapText="1"/>
      <protection/>
    </xf>
    <xf numFmtId="0" fontId="58" fillId="17" borderId="56" xfId="0" applyNumberFormat="1" applyFont="1" applyFill="1" applyBorder="1" applyAlignment="1" applyProtection="1">
      <alignment horizontal="center" vertical="center" wrapText="1"/>
      <protection/>
    </xf>
    <xf numFmtId="0" fontId="59" fillId="17" borderId="57" xfId="0" applyNumberFormat="1" applyFont="1" applyFill="1" applyBorder="1" applyAlignment="1" applyProtection="1">
      <alignment horizontal="center" vertical="center" wrapText="1"/>
      <protection/>
    </xf>
    <xf numFmtId="0" fontId="59" fillId="17" borderId="13" xfId="0" applyNumberFormat="1" applyFont="1" applyFill="1" applyBorder="1" applyAlignment="1" applyProtection="1">
      <alignment horizontal="center" vertical="center" wrapText="1"/>
      <protection/>
    </xf>
    <xf numFmtId="0" fontId="59" fillId="17" borderId="16" xfId="0" applyNumberFormat="1" applyFont="1" applyFill="1" applyBorder="1" applyAlignment="1" applyProtection="1">
      <alignment horizontal="center" vertical="center" wrapText="1"/>
      <protection/>
    </xf>
    <xf numFmtId="0" fontId="43" fillId="17" borderId="5" xfId="0" applyNumberFormat="1" applyFont="1" applyFill="1" applyBorder="1" applyAlignment="1" applyProtection="1">
      <alignment horizontal="left" vertical="center" wrapText="1"/>
      <protection/>
    </xf>
    <xf numFmtId="0" fontId="60" fillId="17" borderId="5" xfId="0" applyNumberFormat="1" applyFont="1" applyFill="1" applyBorder="1" applyAlignment="1" applyProtection="1">
      <alignment horizontal="left" vertical="center" wrapText="1"/>
      <protection/>
    </xf>
    <xf numFmtId="0" fontId="21" fillId="17" borderId="5" xfId="0" applyNumberFormat="1" applyFont="1" applyFill="1" applyBorder="1" applyAlignment="1" applyProtection="1">
      <alignment horizontal="left" vertical="center" wrapText="1"/>
      <protection/>
    </xf>
    <xf numFmtId="0" fontId="59" fillId="17" borderId="43" xfId="0" applyNumberFormat="1" applyFont="1" applyFill="1" applyBorder="1" applyAlignment="1" applyProtection="1">
      <alignment horizontal="center" vertical="center" wrapText="1"/>
      <protection/>
    </xf>
    <xf numFmtId="0" fontId="38" fillId="17" borderId="23" xfId="0" applyNumberFormat="1" applyFont="1" applyFill="1" applyBorder="1" applyAlignment="1" applyProtection="1">
      <alignment horizontal="left" vertical="center" wrapText="1"/>
      <protection/>
    </xf>
    <xf numFmtId="0" fontId="43" fillId="17" borderId="18" xfId="0" applyNumberFormat="1" applyFont="1" applyFill="1" applyBorder="1" applyAlignment="1" applyProtection="1">
      <alignment horizontal="left" vertical="center" wrapText="1"/>
      <protection/>
    </xf>
    <xf numFmtId="0" fontId="21" fillId="17" borderId="5" xfId="0" applyNumberFormat="1" applyFont="1" applyFill="1" applyBorder="1" applyAlignment="1" applyProtection="1">
      <alignment vertical="center" wrapText="1"/>
      <protection/>
    </xf>
    <xf numFmtId="0" fontId="60" fillId="17" borderId="5" xfId="0" applyNumberFormat="1" applyFont="1" applyFill="1" applyBorder="1" applyAlignment="1" applyProtection="1">
      <alignment vertical="center" wrapText="1"/>
      <protection/>
    </xf>
    <xf numFmtId="0" fontId="30" fillId="17" borderId="4" xfId="0" applyNumberFormat="1" applyFont="1" applyFill="1" applyBorder="1" applyAlignment="1" applyProtection="1">
      <alignment vertical="center" wrapText="1"/>
      <protection/>
    </xf>
    <xf numFmtId="0" fontId="143" fillId="17" borderId="0" xfId="0" applyNumberFormat="1" applyFont="1" applyFill="1" applyBorder="1" applyAlignment="1" applyProtection="1">
      <alignment horizontal="right" wrapText="1"/>
      <protection/>
    </xf>
    <xf numFmtId="0" fontId="144" fillId="17" borderId="0" xfId="0" applyFont="1" applyFill="1" applyBorder="1" applyAlignment="1">
      <alignment/>
    </xf>
    <xf numFmtId="0" fontId="37" fillId="17" borderId="0" xfId="0" applyFont="1" applyFill="1" applyBorder="1" applyAlignment="1" applyProtection="1">
      <alignment horizontal="left"/>
      <protection/>
    </xf>
    <xf numFmtId="0" fontId="53" fillId="17" borderId="0" xfId="0" applyFont="1" applyFill="1" applyBorder="1" applyAlignment="1" applyProtection="1">
      <alignment horizontal="center"/>
      <protection/>
    </xf>
    <xf numFmtId="0" fontId="21" fillId="17" borderId="16" xfId="0" applyFont="1" applyFill="1" applyBorder="1" applyAlignment="1" applyProtection="1">
      <alignment horizontal="center"/>
      <protection/>
    </xf>
    <xf numFmtId="0" fontId="21" fillId="17" borderId="14" xfId="0" applyFont="1" applyFill="1" applyBorder="1" applyAlignment="1" applyProtection="1">
      <alignment horizontal="center"/>
      <protection/>
    </xf>
    <xf numFmtId="0" fontId="43" fillId="17" borderId="5" xfId="0" applyNumberFormat="1" applyFont="1" applyFill="1" applyBorder="1" applyAlignment="1" applyProtection="1">
      <alignment vertical="center" wrapText="1"/>
      <protection/>
    </xf>
    <xf numFmtId="0" fontId="21" fillId="17" borderId="5" xfId="0" applyNumberFormat="1" applyFont="1" applyFill="1" applyBorder="1" applyAlignment="1" applyProtection="1">
      <alignment vertical="center"/>
      <protection/>
    </xf>
    <xf numFmtId="0" fontId="21" fillId="17" borderId="19" xfId="0" applyNumberFormat="1" applyFont="1" applyFill="1" applyBorder="1" applyAlignment="1" applyProtection="1">
      <alignment vertical="center" wrapText="1"/>
      <protection/>
    </xf>
    <xf numFmtId="0" fontId="52" fillId="17" borderId="0" xfId="72" applyNumberFormat="1" applyFont="1" applyFill="1" applyBorder="1" applyAlignment="1" applyProtection="1">
      <alignment horizontal="left"/>
      <protection/>
    </xf>
    <xf numFmtId="0" fontId="53" fillId="17" borderId="0" xfId="0" applyFont="1" applyFill="1" applyBorder="1" applyAlignment="1" applyProtection="1">
      <alignment horizontal="center"/>
      <protection locked="0"/>
    </xf>
    <xf numFmtId="0" fontId="25" fillId="17" borderId="14" xfId="0" applyFont="1" applyFill="1" applyBorder="1" applyAlignment="1" applyProtection="1">
      <alignment horizontal="center"/>
      <protection/>
    </xf>
    <xf numFmtId="0" fontId="25" fillId="17" borderId="13" xfId="0" applyFont="1" applyFill="1" applyBorder="1" applyAlignment="1" applyProtection="1">
      <alignment horizontal="center"/>
      <protection/>
    </xf>
    <xf numFmtId="0" fontId="30" fillId="17" borderId="16" xfId="0" applyFont="1" applyFill="1" applyBorder="1" applyAlignment="1" applyProtection="1">
      <alignment horizontal="center"/>
      <protection/>
    </xf>
    <xf numFmtId="0" fontId="30" fillId="17" borderId="14" xfId="0" applyFont="1" applyFill="1" applyBorder="1" applyAlignment="1" applyProtection="1">
      <alignment horizontal="center"/>
      <protection/>
    </xf>
    <xf numFmtId="0" fontId="25" fillId="17" borderId="13" xfId="0" applyFont="1" applyFill="1" applyBorder="1" applyAlignment="1" applyProtection="1">
      <alignment horizontal="center" vertical="center" wrapText="1"/>
      <protection/>
    </xf>
    <xf numFmtId="0" fontId="25" fillId="17" borderId="30" xfId="0" applyFont="1" applyFill="1" applyBorder="1" applyAlignment="1" applyProtection="1">
      <alignment horizontal="center" vertical="center" wrapText="1"/>
      <protection/>
    </xf>
    <xf numFmtId="0" fontId="28" fillId="17" borderId="21" xfId="0" applyFont="1" applyFill="1" applyBorder="1" applyAlignment="1" applyProtection="1">
      <alignment horizontal="center" vertical="center"/>
      <protection/>
    </xf>
    <xf numFmtId="0" fontId="28" fillId="17" borderId="47" xfId="0" applyFont="1" applyFill="1" applyBorder="1" applyAlignment="1" applyProtection="1">
      <alignment horizontal="center" vertical="center"/>
      <protection/>
    </xf>
    <xf numFmtId="0" fontId="28" fillId="17" borderId="58" xfId="0" applyFont="1" applyFill="1" applyBorder="1" applyAlignment="1" applyProtection="1">
      <alignment horizontal="center" vertical="center"/>
      <protection/>
    </xf>
    <xf numFmtId="0" fontId="25" fillId="17" borderId="14" xfId="0" applyFont="1" applyFill="1" applyBorder="1" applyAlignment="1" applyProtection="1">
      <alignment horizontal="center" vertical="center" wrapText="1"/>
      <protection/>
    </xf>
    <xf numFmtId="0" fontId="25" fillId="17" borderId="59" xfId="0" applyFont="1" applyFill="1" applyBorder="1" applyAlignment="1" applyProtection="1">
      <alignment horizontal="center" vertical="center" wrapText="1"/>
      <protection/>
    </xf>
    <xf numFmtId="0" fontId="23" fillId="17" borderId="30" xfId="0" applyFont="1" applyFill="1" applyBorder="1" applyAlignment="1" applyProtection="1">
      <alignment horizontal="center"/>
      <protection/>
    </xf>
    <xf numFmtId="0" fontId="20" fillId="17" borderId="0" xfId="72" applyNumberFormat="1" applyFont="1" applyFill="1" applyBorder="1" applyAlignment="1" applyProtection="1">
      <alignment horizontal="left"/>
      <protection/>
    </xf>
    <xf numFmtId="0" fontId="28" fillId="17" borderId="13" xfId="0" applyFont="1" applyFill="1" applyBorder="1" applyAlignment="1" applyProtection="1">
      <alignment horizontal="center"/>
      <protection/>
    </xf>
    <xf numFmtId="0" fontId="28" fillId="17" borderId="32" xfId="0" applyFont="1" applyFill="1" applyBorder="1" applyAlignment="1" applyProtection="1">
      <alignment horizontal="center" vertical="center"/>
      <protection/>
    </xf>
    <xf numFmtId="0" fontId="28" fillId="17" borderId="19" xfId="0" applyFont="1" applyFill="1" applyBorder="1" applyAlignment="1" applyProtection="1">
      <alignment horizontal="center" vertical="center"/>
      <protection/>
    </xf>
    <xf numFmtId="0" fontId="28" fillId="17" borderId="22" xfId="0" applyFont="1" applyFill="1" applyBorder="1" applyAlignment="1" applyProtection="1">
      <alignment horizontal="center" vertical="center"/>
      <protection/>
    </xf>
    <xf numFmtId="0" fontId="28" fillId="17" borderId="18" xfId="0" applyFont="1" applyFill="1" applyBorder="1" applyAlignment="1" applyProtection="1">
      <alignment horizontal="center" vertical="center"/>
      <protection/>
    </xf>
    <xf numFmtId="0" fontId="28" fillId="17" borderId="17" xfId="0" applyFont="1" applyFill="1" applyBorder="1" applyAlignment="1" applyProtection="1">
      <alignment horizontal="center" vertical="center"/>
      <protection/>
    </xf>
    <xf numFmtId="0" fontId="36" fillId="17" borderId="0" xfId="0" applyFont="1" applyFill="1" applyBorder="1" applyAlignment="1" applyProtection="1">
      <alignment horizontal="left"/>
      <protection/>
    </xf>
    <xf numFmtId="0" fontId="28" fillId="17" borderId="13" xfId="0" applyFont="1" applyFill="1" applyBorder="1" applyAlignment="1" applyProtection="1">
      <alignment horizontal="center" vertical="center" wrapText="1"/>
      <protection locked="0"/>
    </xf>
    <xf numFmtId="0" fontId="28" fillId="17" borderId="30" xfId="0" applyFont="1" applyFill="1" applyBorder="1" applyAlignment="1" applyProtection="1">
      <alignment horizontal="center" vertical="center" wrapText="1"/>
      <protection locked="0"/>
    </xf>
    <xf numFmtId="0" fontId="28" fillId="17" borderId="20" xfId="0" applyFont="1" applyFill="1" applyBorder="1" applyAlignment="1" applyProtection="1">
      <alignment horizontal="center" vertical="center" wrapText="1"/>
      <protection locked="0"/>
    </xf>
    <xf numFmtId="0" fontId="28" fillId="17" borderId="50" xfId="0" applyFont="1" applyFill="1" applyBorder="1" applyAlignment="1" applyProtection="1">
      <alignment horizontal="center" vertical="center" wrapText="1"/>
      <protection locked="0"/>
    </xf>
    <xf numFmtId="0" fontId="28" fillId="17" borderId="60" xfId="0" applyFont="1" applyFill="1" applyBorder="1" applyAlignment="1" applyProtection="1">
      <alignment horizontal="center" vertical="center" wrapText="1"/>
      <protection locked="0"/>
    </xf>
    <xf numFmtId="0" fontId="27" fillId="17" borderId="0" xfId="0" applyFont="1" applyFill="1" applyBorder="1" applyAlignment="1" applyProtection="1">
      <alignment horizontal="right"/>
      <protection/>
    </xf>
    <xf numFmtId="0" fontId="28" fillId="17" borderId="21" xfId="0" applyFont="1" applyFill="1" applyBorder="1" applyAlignment="1" applyProtection="1">
      <alignment horizontal="center" vertical="center" wrapText="1"/>
      <protection locked="0"/>
    </xf>
    <xf numFmtId="0" fontId="28" fillId="17" borderId="47" xfId="0" applyFont="1" applyFill="1" applyBorder="1" applyAlignment="1" applyProtection="1">
      <alignment horizontal="center" vertical="center" wrapText="1"/>
      <protection locked="0"/>
    </xf>
    <xf numFmtId="0" fontId="28" fillId="17" borderId="58" xfId="0" applyFont="1" applyFill="1" applyBorder="1" applyAlignment="1" applyProtection="1">
      <alignment horizontal="center" vertical="center" wrapText="1"/>
      <protection locked="0"/>
    </xf>
    <xf numFmtId="0" fontId="39" fillId="17" borderId="0" xfId="83" applyFont="1" applyFill="1" applyBorder="1" applyAlignment="1" applyProtection="1">
      <alignment horizontal="center"/>
      <protection/>
    </xf>
    <xf numFmtId="0" fontId="51" fillId="17" borderId="0" xfId="83" applyFont="1" applyFill="1" applyBorder="1" applyAlignment="1" applyProtection="1">
      <alignment horizontal="center"/>
      <protection/>
    </xf>
    <xf numFmtId="0" fontId="30" fillId="17" borderId="13" xfId="83" applyFont="1" applyFill="1" applyBorder="1" applyAlignment="1" applyProtection="1">
      <alignment horizontal="center" vertical="center" wrapText="1"/>
      <protection locked="0"/>
    </xf>
    <xf numFmtId="0" fontId="30" fillId="17" borderId="13" xfId="83" applyFont="1" applyFill="1" applyBorder="1" applyAlignment="1" applyProtection="1">
      <alignment horizontal="center" vertical="center"/>
      <protection locked="0"/>
    </xf>
    <xf numFmtId="0" fontId="30" fillId="17" borderId="30" xfId="83" applyFont="1" applyFill="1" applyBorder="1" applyAlignment="1" applyProtection="1">
      <alignment horizontal="center" vertical="center" wrapText="1"/>
      <protection locked="0"/>
    </xf>
    <xf numFmtId="0" fontId="48" fillId="17" borderId="20" xfId="83" applyFont="1" applyFill="1" applyBorder="1" applyAlignment="1" applyProtection="1">
      <alignment horizontal="center" vertical="center"/>
      <protection locked="0"/>
    </xf>
    <xf numFmtId="0" fontId="48" fillId="17" borderId="60" xfId="83" applyFont="1" applyFill="1" applyBorder="1" applyAlignment="1" applyProtection="1">
      <alignment horizontal="center" vertical="center"/>
      <protection locked="0"/>
    </xf>
    <xf numFmtId="0" fontId="68" fillId="17" borderId="0" xfId="0" applyFont="1" applyFill="1" applyBorder="1" applyAlignment="1" applyProtection="1">
      <alignment horizontal="left"/>
      <protection/>
    </xf>
    <xf numFmtId="0" fontId="69" fillId="17" borderId="0" xfId="0" applyFont="1" applyFill="1" applyBorder="1" applyAlignment="1" applyProtection="1">
      <alignment horizontal="left"/>
      <protection/>
    </xf>
    <xf numFmtId="0" fontId="39" fillId="17" borderId="0" xfId="0" applyFont="1" applyFill="1" applyAlignment="1">
      <alignment horizontal="center"/>
    </xf>
    <xf numFmtId="0" fontId="91" fillId="17" borderId="0" xfId="0" applyFont="1" applyFill="1" applyAlignment="1">
      <alignment horizontal="center"/>
    </xf>
    <xf numFmtId="0" fontId="93" fillId="17" borderId="0" xfId="0" applyFont="1" applyFill="1" applyAlignment="1">
      <alignment horizontal="center"/>
    </xf>
    <xf numFmtId="0" fontId="94" fillId="17" borderId="0" xfId="0" applyFont="1" applyFill="1" applyAlignment="1">
      <alignment horizontal="center"/>
    </xf>
    <xf numFmtId="0" fontId="92" fillId="17" borderId="0" xfId="0" applyFont="1" applyFill="1" applyAlignment="1">
      <alignment horizontal="center"/>
    </xf>
    <xf numFmtId="186" fontId="92" fillId="17" borderId="0" xfId="0" applyNumberFormat="1" applyFont="1" applyFill="1" applyAlignment="1">
      <alignment horizontal="center" vertical="top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0" fillId="17" borderId="0" xfId="0" applyFont="1" applyFill="1" applyBorder="1" applyAlignment="1" applyProtection="1">
      <alignment horizontal="center"/>
      <protection/>
    </xf>
    <xf numFmtId="0" fontId="58" fillId="17" borderId="61" xfId="0" applyNumberFormat="1" applyFont="1" applyFill="1" applyBorder="1" applyAlignment="1" applyProtection="1">
      <alignment horizontal="center" vertical="center" wrapText="1"/>
      <protection/>
    </xf>
    <xf numFmtId="0" fontId="58" fillId="17" borderId="62" xfId="0" applyNumberFormat="1" applyFont="1" applyFill="1" applyBorder="1" applyAlignment="1" applyProtection="1">
      <alignment horizontal="center" vertical="center" wrapText="1"/>
      <protection/>
    </xf>
    <xf numFmtId="0" fontId="58" fillId="17" borderId="63" xfId="0" applyNumberFormat="1" applyFont="1" applyFill="1" applyBorder="1" applyAlignment="1" applyProtection="1">
      <alignment horizontal="center" vertical="center" wrapText="1"/>
      <protection/>
    </xf>
    <xf numFmtId="0" fontId="59" fillId="17" borderId="35" xfId="0" applyNumberFormat="1" applyFont="1" applyFill="1" applyBorder="1" applyAlignment="1" applyProtection="1">
      <alignment horizontal="center" vertical="center" wrapText="1"/>
      <protection/>
    </xf>
    <xf numFmtId="0" fontId="59" fillId="17" borderId="0" xfId="0" applyNumberFormat="1" applyFont="1" applyFill="1" applyBorder="1" applyAlignment="1" applyProtection="1">
      <alignment horizontal="center" vertical="center" wrapText="1"/>
      <protection/>
    </xf>
    <xf numFmtId="0" fontId="59" fillId="17" borderId="22" xfId="0" applyNumberFormat="1" applyFont="1" applyFill="1" applyBorder="1" applyAlignment="1" applyProtection="1">
      <alignment horizontal="center" vertical="center" wrapText="1"/>
      <protection/>
    </xf>
    <xf numFmtId="0" fontId="59" fillId="17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9" fillId="17" borderId="24" xfId="0" applyNumberFormat="1" applyFont="1" applyFill="1" applyBorder="1" applyAlignment="1" applyProtection="1">
      <alignment horizontal="center" vertical="center" wrapText="1"/>
      <protection/>
    </xf>
    <xf numFmtId="0" fontId="59" fillId="17" borderId="5" xfId="0" applyNumberFormat="1" applyFont="1" applyFill="1" applyBorder="1" applyAlignment="1" applyProtection="1">
      <alignment horizontal="center" vertical="center" wrapText="1"/>
      <protection/>
    </xf>
    <xf numFmtId="0" fontId="41" fillId="17" borderId="64" xfId="0" applyNumberFormat="1" applyFont="1" applyFill="1" applyBorder="1" applyAlignment="1" applyProtection="1">
      <alignment wrapText="1"/>
      <protection/>
    </xf>
    <xf numFmtId="0" fontId="82" fillId="0" borderId="64" xfId="0" applyFont="1" applyBorder="1" applyAlignment="1">
      <alignment wrapText="1"/>
    </xf>
    <xf numFmtId="0" fontId="30" fillId="17" borderId="36" xfId="0" applyNumberFormat="1" applyFont="1" applyFill="1" applyBorder="1" applyAlignment="1" applyProtection="1">
      <alignment wrapText="1"/>
      <protection/>
    </xf>
    <xf numFmtId="0" fontId="30" fillId="17" borderId="4" xfId="0" applyNumberFormat="1" applyFont="1" applyFill="1" applyBorder="1" applyAlignment="1" applyProtection="1">
      <alignment wrapText="1"/>
      <protection/>
    </xf>
    <xf numFmtId="0" fontId="75" fillId="17" borderId="0" xfId="0" applyFont="1" applyFill="1" applyBorder="1" applyAlignment="1" applyProtection="1">
      <alignment horizontal="left" wrapText="1"/>
      <protection/>
    </xf>
    <xf numFmtId="0" fontId="82" fillId="0" borderId="0" xfId="0" applyFont="1" applyAlignment="1">
      <alignment wrapText="1"/>
    </xf>
    <xf numFmtId="0" fontId="43" fillId="17" borderId="4" xfId="0" applyNumberFormat="1" applyFont="1" applyFill="1" applyBorder="1" applyAlignment="1" applyProtection="1">
      <alignment vertical="center" wrapText="1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90" fillId="17" borderId="0" xfId="0" applyFont="1" applyFill="1" applyBorder="1" applyAlignment="1" applyProtection="1">
      <alignment horizontal="center"/>
      <protection locked="0"/>
    </xf>
    <xf numFmtId="0" fontId="78" fillId="17" borderId="0" xfId="0" applyFont="1" applyFill="1" applyBorder="1" applyAlignment="1" applyProtection="1">
      <alignment horizontal="left"/>
      <protection/>
    </xf>
    <xf numFmtId="0" fontId="75" fillId="17" borderId="0" xfId="0" applyFont="1" applyFill="1" applyBorder="1" applyAlignment="1" applyProtection="1">
      <alignment horizontal="left"/>
      <protection/>
    </xf>
    <xf numFmtId="0" fontId="72" fillId="17" borderId="0" xfId="0" applyFont="1" applyFill="1" applyBorder="1" applyAlignment="1" applyProtection="1">
      <alignment horizontal="center"/>
      <protection/>
    </xf>
    <xf numFmtId="0" fontId="85" fillId="17" borderId="0" xfId="0" applyFont="1" applyFill="1" applyBorder="1" applyAlignment="1" applyProtection="1">
      <alignment horizontal="left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ELTA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xplanatory Text" xfId="63"/>
    <cellStyle name="Followed Hyperlink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Linked Cell" xfId="79"/>
    <cellStyle name="Neutral" xfId="80"/>
    <cellStyle name="Normal 2" xfId="81"/>
    <cellStyle name="Normal_BAL" xfId="82"/>
    <cellStyle name="Normal_PrilojeniaGFO" xfId="83"/>
    <cellStyle name="Note" xfId="84"/>
    <cellStyle name="Output" xfId="85"/>
    <cellStyle name="Percent" xfId="86"/>
    <cellStyle name="Percent [0]" xfId="87"/>
    <cellStyle name="Percent [00]" xfId="88"/>
    <cellStyle name="PrePop Currency (0)" xfId="89"/>
    <cellStyle name="PrePop Currency (2)" xfId="90"/>
    <cellStyle name="PrePop Units (0)" xfId="91"/>
    <cellStyle name="PrePop Units (1)" xfId="92"/>
    <cellStyle name="PrePop Units (2)" xfId="93"/>
    <cellStyle name="Style 1" xfId="94"/>
    <cellStyle name="Text Indent A" xfId="95"/>
    <cellStyle name="Text Indent B" xfId="96"/>
    <cellStyle name="Text Indent C" xfId="97"/>
    <cellStyle name="Title" xfId="98"/>
    <cellStyle name="Total" xfId="99"/>
    <cellStyle name="Warning Text" xfId="100"/>
  </cellStyles>
  <dxfs count="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0</xdr:rowOff>
    </xdr:from>
    <xdr:to>
      <xdr:col>12</xdr:col>
      <xdr:colOff>257175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34099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1876425</xdr:colOff>
      <xdr:row>18</xdr:row>
      <xdr:rowOff>352425</xdr:rowOff>
    </xdr:from>
    <xdr:to>
      <xdr:col>1</xdr:col>
      <xdr:colOff>885825</xdr:colOff>
      <xdr:row>19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5114925"/>
          <a:ext cx="1495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0</xdr:row>
      <xdr:rowOff>38100</xdr:rowOff>
    </xdr:from>
    <xdr:to>
      <xdr:col>3</xdr:col>
      <xdr:colOff>2038350</xdr:colOff>
      <xdr:row>3</xdr:row>
      <xdr:rowOff>0</xdr:rowOff>
    </xdr:to>
    <xdr:sp macro="[0]!bal5">
      <xdr:nvSpPr>
        <xdr:cNvPr id="1" name="Bevel 1"/>
        <xdr:cNvSpPr>
          <a:spLocks/>
        </xdr:cNvSpPr>
      </xdr:nvSpPr>
      <xdr:spPr>
        <a:xfrm>
          <a:off x="914400" y="38100"/>
          <a:ext cx="2009775" cy="75247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ПРЕМАХНИ</a:t>
          </a:r>
          <a:r>
            <a:rPr lang="en-US" cap="none" sz="1100" b="1" i="0" u="none" baseline="0">
              <a:solidFill>
                <a:srgbClr val="C0C0C0"/>
              </a:solidFill>
            </a:rPr>
            <a:t>
</a:t>
          </a:r>
          <a:r>
            <a:rPr lang="en-US" cap="none" sz="1100" b="1" i="0" u="none" baseline="0">
              <a:solidFill>
                <a:srgbClr val="C0C0C0"/>
              </a:solidFill>
            </a:rPr>
            <a:t>раздели, групи и статии
</a:t>
          </a:r>
          <a:r>
            <a:rPr lang="en-US" cap="none" sz="1100" b="1" i="0" u="none" baseline="0">
              <a:solidFill>
                <a:srgbClr val="C0C0C0"/>
              </a:solidFill>
            </a:rPr>
            <a:t>без стойности</a:t>
          </a:r>
        </a:p>
      </xdr:txBody>
    </xdr:sp>
    <xdr:clientData fPrintsWithSheet="0"/>
  </xdr:twoCellAnchor>
  <xdr:twoCellAnchor editAs="absolute">
    <xdr:from>
      <xdr:col>12</xdr:col>
      <xdr:colOff>28575</xdr:colOff>
      <xdr:row>0</xdr:row>
      <xdr:rowOff>114300</xdr:rowOff>
    </xdr:from>
    <xdr:to>
      <xdr:col>13</xdr:col>
      <xdr:colOff>257175</xdr:colOff>
      <xdr:row>1</xdr:row>
      <xdr:rowOff>114300</xdr:rowOff>
    </xdr:to>
    <xdr:sp macro="[0]!otkl_balans">
      <xdr:nvSpPr>
        <xdr:cNvPr id="2" name="Bevel 17"/>
        <xdr:cNvSpPr>
          <a:spLocks/>
        </xdr:cNvSpPr>
      </xdr:nvSpPr>
      <xdr:spPr>
        <a:xfrm>
          <a:off x="10077450" y="114300"/>
          <a:ext cx="1000125" cy="23812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ОТКЛЮЧИ</a:t>
          </a:r>
        </a:p>
      </xdr:txBody>
    </xdr:sp>
    <xdr:clientData fPrintsWithSheet="0"/>
  </xdr:twoCellAnchor>
  <xdr:twoCellAnchor editAs="absolute">
    <xdr:from>
      <xdr:col>12</xdr:col>
      <xdr:colOff>28575</xdr:colOff>
      <xdr:row>1</xdr:row>
      <xdr:rowOff>266700</xdr:rowOff>
    </xdr:from>
    <xdr:to>
      <xdr:col>13</xdr:col>
      <xdr:colOff>257175</xdr:colOff>
      <xdr:row>2</xdr:row>
      <xdr:rowOff>190500</xdr:rowOff>
    </xdr:to>
    <xdr:sp macro="[0]!zakl_balans">
      <xdr:nvSpPr>
        <xdr:cNvPr id="3" name="Bevel 18"/>
        <xdr:cNvSpPr>
          <a:spLocks/>
        </xdr:cNvSpPr>
      </xdr:nvSpPr>
      <xdr:spPr>
        <a:xfrm>
          <a:off x="10077450" y="504825"/>
          <a:ext cx="1000125" cy="21907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ЗАКЛЮЧИ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2771775</xdr:colOff>
      <xdr:row>0</xdr:row>
      <xdr:rowOff>200025</xdr:rowOff>
    </xdr:from>
    <xdr:to>
      <xdr:col>10</xdr:col>
      <xdr:colOff>9525</xdr:colOff>
      <xdr:row>1</xdr:row>
      <xdr:rowOff>219075</xdr:rowOff>
    </xdr:to>
    <xdr:sp macro="[0]!otkl_opr">
      <xdr:nvSpPr>
        <xdr:cNvPr id="1" name="Bevel 1"/>
        <xdr:cNvSpPr>
          <a:spLocks/>
        </xdr:cNvSpPr>
      </xdr:nvSpPr>
      <xdr:spPr>
        <a:xfrm>
          <a:off x="7905750" y="200025"/>
          <a:ext cx="1009650" cy="25717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ОТКЛЮЧИ</a:t>
          </a:r>
        </a:p>
      </xdr:txBody>
    </xdr:sp>
    <xdr:clientData fPrintsWithSheet="0"/>
  </xdr:twoCellAnchor>
  <xdr:twoCellAnchor editAs="absolute">
    <xdr:from>
      <xdr:col>8</xdr:col>
      <xdr:colOff>2771775</xdr:colOff>
      <xdr:row>2</xdr:row>
      <xdr:rowOff>114300</xdr:rowOff>
    </xdr:from>
    <xdr:to>
      <xdr:col>10</xdr:col>
      <xdr:colOff>19050</xdr:colOff>
      <xdr:row>3</xdr:row>
      <xdr:rowOff>95250</xdr:rowOff>
    </xdr:to>
    <xdr:sp macro="[0]!zakl_opr">
      <xdr:nvSpPr>
        <xdr:cNvPr id="2" name="Bevel 2"/>
        <xdr:cNvSpPr>
          <a:spLocks/>
        </xdr:cNvSpPr>
      </xdr:nvSpPr>
      <xdr:spPr>
        <a:xfrm>
          <a:off x="7905750" y="600075"/>
          <a:ext cx="1019175" cy="22860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ЗАКЛЮЧИ</a:t>
          </a:r>
        </a:p>
      </xdr:txBody>
    </xdr:sp>
    <xdr:clientData fPrintsWithSheet="0"/>
  </xdr:twoCellAnchor>
  <xdr:twoCellAnchor editAs="absolute">
    <xdr:from>
      <xdr:col>2</xdr:col>
      <xdr:colOff>104775</xdr:colOff>
      <xdr:row>1</xdr:row>
      <xdr:rowOff>123825</xdr:rowOff>
    </xdr:from>
    <xdr:to>
      <xdr:col>2</xdr:col>
      <xdr:colOff>2143125</xdr:colOff>
      <xdr:row>4</xdr:row>
      <xdr:rowOff>123825</xdr:rowOff>
    </xdr:to>
    <xdr:sp macro="[0]!OPR">
      <xdr:nvSpPr>
        <xdr:cNvPr id="3" name="Bevel 3"/>
        <xdr:cNvSpPr>
          <a:spLocks/>
        </xdr:cNvSpPr>
      </xdr:nvSpPr>
      <xdr:spPr>
        <a:xfrm>
          <a:off x="314325" y="361950"/>
          <a:ext cx="2038350" cy="74295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ПРЕМАХНИ</a:t>
          </a:r>
          <a:r>
            <a:rPr lang="en-US" cap="none" sz="1100" b="1" i="0" u="none" baseline="0">
              <a:solidFill>
                <a:srgbClr val="C0C0C0"/>
              </a:solidFill>
            </a:rPr>
            <a:t>
</a:t>
          </a:r>
          <a:r>
            <a:rPr lang="en-US" cap="none" sz="1100" b="1" i="0" u="none" baseline="0">
              <a:solidFill>
                <a:srgbClr val="C0C0C0"/>
              </a:solidFill>
            </a:rPr>
            <a:t>раздели, групи и статии
</a:t>
          </a:r>
          <a:r>
            <a:rPr lang="en-US" cap="none" sz="1100" b="1" i="0" u="none" baseline="0">
              <a:solidFill>
                <a:srgbClr val="C0C0C0"/>
              </a:solidFill>
            </a:rPr>
            <a:t>без стойности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819150</xdr:colOff>
      <xdr:row>1</xdr:row>
      <xdr:rowOff>57150</xdr:rowOff>
    </xdr:from>
    <xdr:to>
      <xdr:col>7</xdr:col>
      <xdr:colOff>752475</xdr:colOff>
      <xdr:row>2</xdr:row>
      <xdr:rowOff>57150</xdr:rowOff>
    </xdr:to>
    <xdr:sp macro="[0]!otkl_opp">
      <xdr:nvSpPr>
        <xdr:cNvPr id="1" name="Bevel 1"/>
        <xdr:cNvSpPr>
          <a:spLocks/>
        </xdr:cNvSpPr>
      </xdr:nvSpPr>
      <xdr:spPr>
        <a:xfrm>
          <a:off x="7800975" y="219075"/>
          <a:ext cx="1019175" cy="24765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ОТКЛЮЧИ</a:t>
          </a:r>
        </a:p>
      </xdr:txBody>
    </xdr:sp>
    <xdr:clientData fPrintsWithSheet="0"/>
  </xdr:twoCellAnchor>
  <xdr:twoCellAnchor editAs="absolute">
    <xdr:from>
      <xdr:col>6</xdr:col>
      <xdr:colOff>828675</xdr:colOff>
      <xdr:row>2</xdr:row>
      <xdr:rowOff>180975</xdr:rowOff>
    </xdr:from>
    <xdr:to>
      <xdr:col>7</xdr:col>
      <xdr:colOff>771525</xdr:colOff>
      <xdr:row>3</xdr:row>
      <xdr:rowOff>180975</xdr:rowOff>
    </xdr:to>
    <xdr:sp macro="[0]!zakl_opp">
      <xdr:nvSpPr>
        <xdr:cNvPr id="2" name="Bevel 2"/>
        <xdr:cNvSpPr>
          <a:spLocks/>
        </xdr:cNvSpPr>
      </xdr:nvSpPr>
      <xdr:spPr>
        <a:xfrm>
          <a:off x="7810500" y="590550"/>
          <a:ext cx="1028700" cy="24765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ЗАКЛЮЧИ</a:t>
          </a:r>
        </a:p>
      </xdr:txBody>
    </xdr:sp>
    <xdr:clientData fPrintsWithSheet="0"/>
  </xdr:twoCellAnchor>
  <xdr:twoCellAnchor editAs="absolute">
    <xdr:from>
      <xdr:col>2</xdr:col>
      <xdr:colOff>295275</xdr:colOff>
      <xdr:row>1</xdr:row>
      <xdr:rowOff>66675</xdr:rowOff>
    </xdr:from>
    <xdr:to>
      <xdr:col>2</xdr:col>
      <xdr:colOff>2314575</xdr:colOff>
      <xdr:row>4</xdr:row>
      <xdr:rowOff>123825</xdr:rowOff>
    </xdr:to>
    <xdr:sp macro="[0]!OPP">
      <xdr:nvSpPr>
        <xdr:cNvPr id="3" name="Bevel 3"/>
        <xdr:cNvSpPr>
          <a:spLocks/>
        </xdr:cNvSpPr>
      </xdr:nvSpPr>
      <xdr:spPr>
        <a:xfrm>
          <a:off x="485775" y="228600"/>
          <a:ext cx="2019300" cy="80010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ПРЕМАХНИ</a:t>
          </a:r>
          <a:r>
            <a:rPr lang="en-US" cap="none" sz="1100" b="1" i="0" u="none" baseline="0">
              <a:solidFill>
                <a:srgbClr val="C0C0C0"/>
              </a:solidFill>
            </a:rPr>
            <a:t>
</a:t>
          </a:r>
          <a:r>
            <a:rPr lang="en-US" cap="none" sz="1100" b="1" i="0" u="none" baseline="0">
              <a:solidFill>
                <a:srgbClr val="C0C0C0"/>
              </a:solidFill>
            </a:rPr>
            <a:t>раздели, групи и статии
</a:t>
          </a:r>
          <a:r>
            <a:rPr lang="en-US" cap="none" sz="1100" b="1" i="0" u="none" baseline="0">
              <a:solidFill>
                <a:srgbClr val="C0C0C0"/>
              </a:solidFill>
            </a:rPr>
            <a:t>без стойности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495300</xdr:colOff>
      <xdr:row>1</xdr:row>
      <xdr:rowOff>0</xdr:rowOff>
    </xdr:from>
    <xdr:to>
      <xdr:col>11</xdr:col>
      <xdr:colOff>104775</xdr:colOff>
      <xdr:row>2</xdr:row>
      <xdr:rowOff>38100</xdr:rowOff>
    </xdr:to>
    <xdr:sp macro="[0]!otkl_osk">
      <xdr:nvSpPr>
        <xdr:cNvPr id="1" name="Bevel 1"/>
        <xdr:cNvSpPr>
          <a:spLocks/>
        </xdr:cNvSpPr>
      </xdr:nvSpPr>
      <xdr:spPr>
        <a:xfrm>
          <a:off x="8648700" y="190500"/>
          <a:ext cx="1028700" cy="22860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ОТКЛЮЧИ</a:t>
          </a:r>
        </a:p>
      </xdr:txBody>
    </xdr:sp>
    <xdr:clientData fPrintsWithSheet="0"/>
  </xdr:twoCellAnchor>
  <xdr:twoCellAnchor editAs="absolute">
    <xdr:from>
      <xdr:col>9</xdr:col>
      <xdr:colOff>523875</xdr:colOff>
      <xdr:row>2</xdr:row>
      <xdr:rowOff>161925</xdr:rowOff>
    </xdr:from>
    <xdr:to>
      <xdr:col>11</xdr:col>
      <xdr:colOff>104775</xdr:colOff>
      <xdr:row>3</xdr:row>
      <xdr:rowOff>161925</xdr:rowOff>
    </xdr:to>
    <xdr:sp macro="[0]!zakl_osk">
      <xdr:nvSpPr>
        <xdr:cNvPr id="2" name="Bevel 2"/>
        <xdr:cNvSpPr>
          <a:spLocks/>
        </xdr:cNvSpPr>
      </xdr:nvSpPr>
      <xdr:spPr>
        <a:xfrm>
          <a:off x="8677275" y="542925"/>
          <a:ext cx="1000125" cy="24765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ЗАКЛЮЧИ</a:t>
          </a:r>
        </a:p>
      </xdr:txBody>
    </xdr:sp>
    <xdr:clientData fPrintsWithSheet="0"/>
  </xdr:twoCellAnchor>
  <xdr:twoCellAnchor editAs="absolute">
    <xdr:from>
      <xdr:col>2</xdr:col>
      <xdr:colOff>666750</xdr:colOff>
      <xdr:row>2</xdr:row>
      <xdr:rowOff>76200</xdr:rowOff>
    </xdr:from>
    <xdr:to>
      <xdr:col>2</xdr:col>
      <xdr:colOff>2667000</xdr:colOff>
      <xdr:row>5</xdr:row>
      <xdr:rowOff>85725</xdr:rowOff>
    </xdr:to>
    <xdr:sp macro="[0]!OSK">
      <xdr:nvSpPr>
        <xdr:cNvPr id="3" name="Bevel 4"/>
        <xdr:cNvSpPr>
          <a:spLocks/>
        </xdr:cNvSpPr>
      </xdr:nvSpPr>
      <xdr:spPr>
        <a:xfrm>
          <a:off x="895350" y="457200"/>
          <a:ext cx="2000250" cy="75247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ПРЕМАХНИ</a:t>
          </a:r>
          <a:r>
            <a:rPr lang="en-US" cap="none" sz="1100" b="1" i="0" u="none" baseline="0">
              <a:solidFill>
                <a:srgbClr val="C0C0C0"/>
              </a:solidFill>
            </a:rPr>
            <a:t>
</a:t>
          </a:r>
          <a:r>
            <a:rPr lang="en-US" cap="none" sz="1100" b="1" i="0" u="none" baseline="0">
              <a:solidFill>
                <a:srgbClr val="C0C0C0"/>
              </a:solidFill>
            </a:rPr>
            <a:t>раздели, групи и статии
</a:t>
          </a:r>
          <a:r>
            <a:rPr lang="en-US" cap="none" sz="1100" b="1" i="0" u="none" baseline="0">
              <a:solidFill>
                <a:srgbClr val="C0C0C0"/>
              </a:solidFill>
            </a:rPr>
            <a:t>без стойности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666750</xdr:colOff>
      <xdr:row>0</xdr:row>
      <xdr:rowOff>161925</xdr:rowOff>
    </xdr:from>
    <xdr:to>
      <xdr:col>13</xdr:col>
      <xdr:colOff>104775</xdr:colOff>
      <xdr:row>1</xdr:row>
      <xdr:rowOff>209550</xdr:rowOff>
    </xdr:to>
    <xdr:sp macro="[0]!otkl_spr_dma">
      <xdr:nvSpPr>
        <xdr:cNvPr id="1" name="Bevel 1"/>
        <xdr:cNvSpPr>
          <a:spLocks/>
        </xdr:cNvSpPr>
      </xdr:nvSpPr>
      <xdr:spPr>
        <a:xfrm>
          <a:off x="11591925" y="161925"/>
          <a:ext cx="981075" cy="23812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ОТКЛЮЧИ</a:t>
          </a:r>
        </a:p>
      </xdr:txBody>
    </xdr:sp>
    <xdr:clientData fPrintsWithSheet="0"/>
  </xdr:twoCellAnchor>
  <xdr:twoCellAnchor editAs="absolute">
    <xdr:from>
      <xdr:col>11</xdr:col>
      <xdr:colOff>685800</xdr:colOff>
      <xdr:row>2</xdr:row>
      <xdr:rowOff>95250</xdr:rowOff>
    </xdr:from>
    <xdr:to>
      <xdr:col>13</xdr:col>
      <xdr:colOff>114300</xdr:colOff>
      <xdr:row>3</xdr:row>
      <xdr:rowOff>76200</xdr:rowOff>
    </xdr:to>
    <xdr:sp macro="[0]!zakl_spr_dma">
      <xdr:nvSpPr>
        <xdr:cNvPr id="2" name="Bevel 2"/>
        <xdr:cNvSpPr>
          <a:spLocks/>
        </xdr:cNvSpPr>
      </xdr:nvSpPr>
      <xdr:spPr>
        <a:xfrm>
          <a:off x="11610975" y="533400"/>
          <a:ext cx="971550" cy="22860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ЗАКЛЮЧИ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80;%20&#1060;&#1086;&#1088;&#1084;&#1080;\GFO%202010_Donev\gfo-NSMS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"/>
      <sheetName val="Баланс"/>
      <sheetName val="ОПР"/>
      <sheetName val="ОПП"/>
      <sheetName val="СК"/>
      <sheetName val="ДА"/>
      <sheetName val="ИкПоказ."/>
      <sheetName val="ref"/>
      <sheetName val="проверка"/>
      <sheetName val="Фирма"/>
    </sheetNames>
    <sheetDataSet>
      <sheetData sheetId="2">
        <row r="10"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</row>
        <row r="18"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</row>
        <row r="26">
          <cell r="C26">
            <v>0</v>
          </cell>
          <cell r="D26">
            <v>0</v>
          </cell>
        </row>
        <row r="27">
          <cell r="F27">
            <v>0</v>
          </cell>
          <cell r="G27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</row>
      </sheetData>
      <sheetData sheetId="3">
        <row r="8">
          <cell r="D8">
            <v>0</v>
          </cell>
          <cell r="G8">
            <v>0</v>
          </cell>
        </row>
        <row r="9">
          <cell r="D9">
            <v>0</v>
          </cell>
          <cell r="G9">
            <v>0</v>
          </cell>
        </row>
        <row r="10">
          <cell r="D10">
            <v>0</v>
          </cell>
          <cell r="G10">
            <v>0</v>
          </cell>
        </row>
        <row r="11">
          <cell r="D11">
            <v>0</v>
          </cell>
          <cell r="G11">
            <v>0</v>
          </cell>
        </row>
        <row r="12">
          <cell r="D12">
            <v>0</v>
          </cell>
          <cell r="G12">
            <v>0</v>
          </cell>
        </row>
        <row r="13">
          <cell r="D13">
            <v>0</v>
          </cell>
          <cell r="G13">
            <v>0</v>
          </cell>
        </row>
        <row r="14">
          <cell r="D14">
            <v>0</v>
          </cell>
          <cell r="G14">
            <v>0</v>
          </cell>
        </row>
        <row r="15">
          <cell r="D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8">
          <cell r="D18">
            <v>0</v>
          </cell>
          <cell r="G18">
            <v>0</v>
          </cell>
        </row>
        <row r="19">
          <cell r="D19">
            <v>0</v>
          </cell>
          <cell r="G19">
            <v>0</v>
          </cell>
        </row>
        <row r="20">
          <cell r="D20">
            <v>0</v>
          </cell>
          <cell r="G20">
            <v>0</v>
          </cell>
        </row>
        <row r="21">
          <cell r="D21">
            <v>0</v>
          </cell>
          <cell r="G21">
            <v>0</v>
          </cell>
        </row>
        <row r="22">
          <cell r="D22">
            <v>0</v>
          </cell>
          <cell r="G22">
            <v>0</v>
          </cell>
        </row>
        <row r="23">
          <cell r="D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D26">
            <v>0</v>
          </cell>
          <cell r="G26">
            <v>0</v>
          </cell>
        </row>
        <row r="27">
          <cell r="D27">
            <v>0</v>
          </cell>
          <cell r="G27">
            <v>0</v>
          </cell>
        </row>
        <row r="28">
          <cell r="D28">
            <v>0</v>
          </cell>
          <cell r="G28">
            <v>0</v>
          </cell>
        </row>
        <row r="29">
          <cell r="D29">
            <v>0</v>
          </cell>
          <cell r="G29">
            <v>0</v>
          </cell>
        </row>
        <row r="30">
          <cell r="D30">
            <v>0</v>
          </cell>
          <cell r="G30">
            <v>0</v>
          </cell>
        </row>
        <row r="31">
          <cell r="D31">
            <v>0</v>
          </cell>
          <cell r="G31">
            <v>0</v>
          </cell>
        </row>
        <row r="32">
          <cell r="D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</row>
        <row r="36">
          <cell r="D36">
            <v>0</v>
          </cell>
          <cell r="G36">
            <v>0</v>
          </cell>
        </row>
      </sheetData>
      <sheetData sheetId="4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>
            <v>0</v>
          </cell>
          <cell r="L13">
            <v>0</v>
          </cell>
        </row>
        <row r="14">
          <cell r="B14">
            <v>0</v>
          </cell>
          <cell r="L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0</v>
          </cell>
          <cell r="L17">
            <v>0</v>
          </cell>
        </row>
        <row r="18">
          <cell r="B18">
            <v>0</v>
          </cell>
          <cell r="C18">
            <v>0</v>
          </cell>
          <cell r="L18">
            <v>0</v>
          </cell>
        </row>
        <row r="19">
          <cell r="L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L21">
            <v>0</v>
          </cell>
        </row>
        <row r="22">
          <cell r="B22">
            <v>0</v>
          </cell>
          <cell r="C22">
            <v>0</v>
          </cell>
          <cell r="L22">
            <v>0</v>
          </cell>
        </row>
        <row r="23">
          <cell r="L23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L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</sheetData>
      <sheetData sheetId="5">
        <row r="8">
          <cell r="E8">
            <v>0</v>
          </cell>
          <cell r="H8">
            <v>0</v>
          </cell>
          <cell r="L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H9">
            <v>0</v>
          </cell>
          <cell r="L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H10">
            <v>0</v>
          </cell>
          <cell r="L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H11">
            <v>0</v>
          </cell>
          <cell r="L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H15">
            <v>0</v>
          </cell>
          <cell r="L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H16">
            <v>0</v>
          </cell>
          <cell r="L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H17">
            <v>0</v>
          </cell>
          <cell r="L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H18">
            <v>0</v>
          </cell>
          <cell r="L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H19">
            <v>0</v>
          </cell>
          <cell r="L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E22">
            <v>0</v>
          </cell>
          <cell r="H22">
            <v>0</v>
          </cell>
          <cell r="L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H23">
            <v>0</v>
          </cell>
          <cell r="L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H24">
            <v>0</v>
          </cell>
          <cell r="L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H25">
            <v>0</v>
          </cell>
          <cell r="L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H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H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H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H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  <sheetData sheetId="7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">
    <tabColor theme="0"/>
  </sheetPr>
  <dimension ref="A1:N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7.28125" style="43" customWidth="1"/>
    <col min="2" max="2" width="38.140625" style="43" customWidth="1"/>
    <col min="3" max="16384" width="9.140625" style="43" customWidth="1"/>
  </cols>
  <sheetData>
    <row r="1" spans="1:2" ht="12.75">
      <c r="A1" s="50" t="s">
        <v>132</v>
      </c>
      <c r="B1" s="47" t="s">
        <v>337</v>
      </c>
    </row>
    <row r="2" spans="1:2" ht="12.75">
      <c r="A2" s="50" t="s">
        <v>133</v>
      </c>
      <c r="B2" s="48"/>
    </row>
    <row r="3" spans="1:2" ht="12.75">
      <c r="A3" s="50" t="s">
        <v>139</v>
      </c>
      <c r="B3" s="48" t="s">
        <v>314</v>
      </c>
    </row>
    <row r="4" spans="1:2" ht="12.75">
      <c r="A4" s="50" t="s">
        <v>136</v>
      </c>
      <c r="B4" s="47"/>
    </row>
    <row r="5" spans="1:2" ht="12.75">
      <c r="A5" s="50" t="s">
        <v>134</v>
      </c>
      <c r="B5" s="47"/>
    </row>
    <row r="6" spans="1:2" ht="12.75">
      <c r="A6" s="50" t="s">
        <v>325</v>
      </c>
      <c r="B6" s="47" t="s">
        <v>321</v>
      </c>
    </row>
    <row r="7" spans="1:2" ht="12.75">
      <c r="A7" s="50" t="s">
        <v>324</v>
      </c>
      <c r="B7" s="47" t="s">
        <v>323</v>
      </c>
    </row>
    <row r="8" spans="1:2" ht="12.75">
      <c r="A8" s="50" t="s">
        <v>140</v>
      </c>
      <c r="B8" s="47"/>
    </row>
    <row r="9" spans="1:2" ht="12.75">
      <c r="A9" s="50" t="s">
        <v>138</v>
      </c>
      <c r="B9" s="49">
        <v>43830</v>
      </c>
    </row>
    <row r="10" spans="1:2" ht="12.75">
      <c r="A10" s="50" t="s">
        <v>97</v>
      </c>
      <c r="B10" s="47" t="s">
        <v>341</v>
      </c>
    </row>
    <row r="11" spans="1:2" ht="12.75">
      <c r="A11" s="50" t="s">
        <v>135</v>
      </c>
      <c r="B11" s="47"/>
    </row>
    <row r="12" spans="1:2" ht="12.75">
      <c r="A12" s="50" t="s">
        <v>137</v>
      </c>
      <c r="B12" s="47"/>
    </row>
    <row r="13" spans="1:12" ht="18.75">
      <c r="A13" s="50"/>
      <c r="B13" s="47"/>
      <c r="H13" s="596" t="s">
        <v>287</v>
      </c>
      <c r="I13" s="596"/>
      <c r="J13" s="596"/>
      <c r="K13" s="596"/>
      <c r="L13" s="596"/>
    </row>
    <row r="14" spans="1:12" ht="30.75" customHeight="1">
      <c r="A14" s="46" t="s">
        <v>144</v>
      </c>
      <c r="B14" s="142"/>
      <c r="H14" s="598" t="s">
        <v>295</v>
      </c>
      <c r="I14" s="598"/>
      <c r="J14" s="598"/>
      <c r="K14" s="598"/>
      <c r="L14" s="598"/>
    </row>
    <row r="15" spans="1:12" ht="24" customHeight="1">
      <c r="A15" s="144" t="s">
        <v>142</v>
      </c>
      <c r="B15" s="143"/>
      <c r="H15" s="598"/>
      <c r="I15" s="598"/>
      <c r="J15" s="598"/>
      <c r="K15" s="598"/>
      <c r="L15" s="598"/>
    </row>
    <row r="16" spans="1:12" ht="77.25" customHeight="1">
      <c r="A16" s="604" t="s">
        <v>290</v>
      </c>
      <c r="B16" s="604"/>
      <c r="C16" s="604"/>
      <c r="D16" s="604"/>
      <c r="E16" s="604"/>
      <c r="H16" s="598"/>
      <c r="I16" s="598"/>
      <c r="J16" s="598"/>
      <c r="K16" s="598"/>
      <c r="L16" s="598"/>
    </row>
    <row r="17" spans="1:12" ht="44.25" customHeight="1">
      <c r="A17" s="602" t="s">
        <v>141</v>
      </c>
      <c r="B17" s="602"/>
      <c r="C17" s="602"/>
      <c r="H17" s="598"/>
      <c r="I17" s="598"/>
      <c r="J17" s="598"/>
      <c r="K17" s="598"/>
      <c r="L17" s="598"/>
    </row>
    <row r="18" spans="1:12" ht="27" customHeight="1">
      <c r="A18" s="600" t="s">
        <v>291</v>
      </c>
      <c r="B18" s="600"/>
      <c r="H18" s="598"/>
      <c r="I18" s="598"/>
      <c r="J18" s="598"/>
      <c r="K18" s="598"/>
      <c r="L18" s="598"/>
    </row>
    <row r="19" spans="1:14" ht="144" customHeight="1">
      <c r="A19" s="601" t="s">
        <v>289</v>
      </c>
      <c r="B19" s="601"/>
      <c r="C19" s="44"/>
      <c r="D19" s="44"/>
      <c r="E19" s="44"/>
      <c r="F19" s="44"/>
      <c r="G19" s="44"/>
      <c r="H19" s="598"/>
      <c r="I19" s="598"/>
      <c r="J19" s="598"/>
      <c r="K19" s="598"/>
      <c r="L19" s="598"/>
      <c r="M19" s="138"/>
      <c r="N19" s="138"/>
    </row>
    <row r="20" spans="1:2" ht="12.75">
      <c r="A20" s="45"/>
      <c r="B20" s="45"/>
    </row>
    <row r="21" ht="12.75">
      <c r="B21" s="45"/>
    </row>
    <row r="22" ht="12.75">
      <c r="B22" s="45"/>
    </row>
    <row r="27" spans="8:14" ht="275.25" customHeight="1">
      <c r="H27" s="603"/>
      <c r="I27" s="603"/>
      <c r="J27" s="603"/>
      <c r="K27" s="603"/>
      <c r="L27" s="603"/>
      <c r="M27" s="603"/>
      <c r="N27" s="603"/>
    </row>
    <row r="28" spans="1:2" ht="12.75">
      <c r="A28" s="597"/>
      <c r="B28" s="597"/>
    </row>
    <row r="29" spans="1:2" ht="12.75">
      <c r="A29" s="599"/>
      <c r="B29" s="599"/>
    </row>
  </sheetData>
  <sheetProtection password="DA80" sheet="1" objects="1" scenarios="1" selectLockedCells="1"/>
  <mergeCells count="9">
    <mergeCell ref="H13:L13"/>
    <mergeCell ref="A28:B28"/>
    <mergeCell ref="H14:L19"/>
    <mergeCell ref="A29:B29"/>
    <mergeCell ref="A18:B18"/>
    <mergeCell ref="A19:B19"/>
    <mergeCell ref="A17:C17"/>
    <mergeCell ref="H27:N27"/>
    <mergeCell ref="A16:E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tabColor theme="3" tint="0.7999799847602844"/>
  </sheetPr>
  <dimension ref="A1:X55"/>
  <sheetViews>
    <sheetView view="pageBreakPreview" zoomScale="90" zoomScaleNormal="85" zoomScaleSheetLayoutView="90" zoomScalePageLayoutView="0" workbookViewId="0" topLeftCell="A36">
      <selection activeCell="C41" sqref="C41"/>
    </sheetView>
  </sheetViews>
  <sheetFormatPr defaultColWidth="8.421875" defaultRowHeight="12.75"/>
  <cols>
    <col min="1" max="1" width="3.140625" style="104" customWidth="1"/>
    <col min="2" max="2" width="3.7109375" style="9" hidden="1" customWidth="1"/>
    <col min="3" max="3" width="44.28125" style="9" customWidth="1"/>
    <col min="4" max="4" width="7.140625" style="9" customWidth="1"/>
    <col min="5" max="5" width="13.7109375" style="9" customWidth="1"/>
    <col min="6" max="6" width="12.140625" style="9" customWidth="1"/>
    <col min="7" max="7" width="1.28515625" style="9" customWidth="1"/>
    <col min="8" max="8" width="3.00390625" style="16" customWidth="1"/>
    <col min="9" max="9" width="0.2890625" style="9" hidden="1" customWidth="1"/>
    <col min="10" max="10" width="41.00390625" style="9" customWidth="1"/>
    <col min="11" max="11" width="7.421875" style="9" customWidth="1"/>
    <col min="12" max="12" width="13.140625" style="9" customWidth="1"/>
    <col min="13" max="13" width="14.140625" style="9" customWidth="1"/>
    <col min="14" max="14" width="3.57421875" style="9" customWidth="1"/>
    <col min="15" max="15" width="2.140625" style="9" customWidth="1"/>
    <col min="16" max="22" width="8.421875" style="9" customWidth="1"/>
    <col min="23" max="23" width="0" style="9" hidden="1" customWidth="1"/>
    <col min="24" max="24" width="12.421875" style="9" hidden="1" customWidth="1"/>
    <col min="25" max="25" width="0" style="9" hidden="1" customWidth="1"/>
    <col min="26" max="16384" width="8.421875" style="9" customWidth="1"/>
  </cols>
  <sheetData>
    <row r="1" spans="1:13" s="24" customFormat="1" ht="31.5" customHeight="1">
      <c r="A1" s="102"/>
      <c r="C1" s="709" t="s">
        <v>58</v>
      </c>
      <c r="D1" s="709"/>
      <c r="E1" s="709"/>
      <c r="F1" s="709"/>
      <c r="G1" s="709"/>
      <c r="H1" s="709"/>
      <c r="I1" s="709"/>
      <c r="J1" s="709"/>
      <c r="K1" s="709"/>
      <c r="L1" s="709"/>
      <c r="M1" s="709"/>
    </row>
    <row r="2" spans="1:13" s="24" customFormat="1" ht="20.25" customHeight="1">
      <c r="A2" s="102"/>
      <c r="C2" s="709" t="s">
        <v>59</v>
      </c>
      <c r="D2" s="709"/>
      <c r="E2" s="709"/>
      <c r="F2" s="709"/>
      <c r="G2" s="709"/>
      <c r="H2" s="709"/>
      <c r="I2" s="709"/>
      <c r="J2" s="709"/>
      <c r="K2" s="709"/>
      <c r="L2" s="709"/>
      <c r="M2" s="709"/>
    </row>
    <row r="3" spans="1:13" s="24" customFormat="1" ht="22.5">
      <c r="A3" s="102"/>
      <c r="C3" s="688" t="s">
        <v>337</v>
      </c>
      <c r="D3" s="688"/>
      <c r="E3" s="688"/>
      <c r="F3" s="688"/>
      <c r="G3" s="688"/>
      <c r="H3" s="688"/>
      <c r="I3" s="688"/>
      <c r="J3" s="688"/>
      <c r="K3" s="688"/>
      <c r="L3" s="688"/>
      <c r="M3" s="688"/>
    </row>
    <row r="4" spans="1:13" s="24" customFormat="1" ht="22.5" customHeight="1">
      <c r="A4" s="102"/>
      <c r="C4" s="688" t="s">
        <v>343</v>
      </c>
      <c r="D4" s="688"/>
      <c r="E4" s="688"/>
      <c r="F4" s="688"/>
      <c r="G4" s="688"/>
      <c r="H4" s="688"/>
      <c r="I4" s="688"/>
      <c r="J4" s="688"/>
      <c r="K4" s="688"/>
      <c r="L4" s="688"/>
      <c r="M4" s="688"/>
    </row>
    <row r="5" spans="1:13" s="24" customFormat="1" ht="22.5" customHeight="1">
      <c r="A5" s="102"/>
      <c r="C5" s="556"/>
      <c r="D5" s="556"/>
      <c r="E5" s="556"/>
      <c r="F5" s="556"/>
      <c r="G5" s="556" t="s">
        <v>340</v>
      </c>
      <c r="H5" s="556"/>
      <c r="I5" s="556"/>
      <c r="J5" s="556"/>
      <c r="K5" s="556"/>
      <c r="L5" s="556"/>
      <c r="M5" s="556"/>
    </row>
    <row r="6" spans="1:13" s="24" customFormat="1" ht="8.25" customHeight="1">
      <c r="A6" s="102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7" spans="1:13" ht="15">
      <c r="A7" s="225"/>
      <c r="B7" s="83"/>
      <c r="C7" s="648" t="s">
        <v>60</v>
      </c>
      <c r="D7" s="706" t="s">
        <v>334</v>
      </c>
      <c r="E7" s="642" t="s">
        <v>61</v>
      </c>
      <c r="F7" s="643"/>
      <c r="G7" s="26"/>
      <c r="H7" s="226"/>
      <c r="I7" s="227"/>
      <c r="J7" s="648" t="s">
        <v>62</v>
      </c>
      <c r="K7" s="706" t="s">
        <v>334</v>
      </c>
      <c r="L7" s="642" t="s">
        <v>61</v>
      </c>
      <c r="M7" s="643"/>
    </row>
    <row r="8" spans="1:13" ht="15">
      <c r="A8" s="228"/>
      <c r="C8" s="649"/>
      <c r="D8" s="707"/>
      <c r="E8" s="651" t="s">
        <v>63</v>
      </c>
      <c r="F8" s="646" t="s">
        <v>64</v>
      </c>
      <c r="G8" s="26"/>
      <c r="H8" s="229"/>
      <c r="I8" s="26"/>
      <c r="J8" s="649"/>
      <c r="K8" s="707"/>
      <c r="L8" s="651" t="s">
        <v>63</v>
      </c>
      <c r="M8" s="646" t="s">
        <v>64</v>
      </c>
    </row>
    <row r="9" spans="1:13" ht="15.75" thickBot="1">
      <c r="A9" s="230"/>
      <c r="B9" s="231"/>
      <c r="C9" s="650"/>
      <c r="D9" s="708"/>
      <c r="E9" s="652"/>
      <c r="F9" s="647"/>
      <c r="G9" s="26"/>
      <c r="H9" s="232"/>
      <c r="I9" s="233"/>
      <c r="J9" s="650"/>
      <c r="K9" s="708"/>
      <c r="L9" s="652"/>
      <c r="M9" s="647"/>
    </row>
    <row r="10" spans="1:13" ht="15.75" thickTop="1">
      <c r="A10" s="103">
        <v>1</v>
      </c>
      <c r="B10" s="82"/>
      <c r="C10" s="73">
        <v>1</v>
      </c>
      <c r="D10" s="540"/>
      <c r="E10" s="73">
        <v>2</v>
      </c>
      <c r="F10" s="27">
        <v>3</v>
      </c>
      <c r="G10" s="28"/>
      <c r="H10" s="98">
        <v>1</v>
      </c>
      <c r="I10" s="93"/>
      <c r="J10" s="73">
        <v>1</v>
      </c>
      <c r="K10" s="73"/>
      <c r="L10" s="73">
        <v>2</v>
      </c>
      <c r="M10" s="27">
        <v>3</v>
      </c>
    </row>
    <row r="11" spans="1:13" ht="20.25">
      <c r="A11" s="71" t="s">
        <v>231</v>
      </c>
      <c r="B11" s="70"/>
      <c r="C11" s="78" t="s">
        <v>232</v>
      </c>
      <c r="D11" s="534"/>
      <c r="E11" s="418"/>
      <c r="F11" s="419"/>
      <c r="G11" s="26"/>
      <c r="H11" s="107" t="s">
        <v>19</v>
      </c>
      <c r="I11" s="89"/>
      <c r="J11" s="78" t="s">
        <v>272</v>
      </c>
      <c r="K11" s="534"/>
      <c r="L11" s="418"/>
      <c r="M11" s="419"/>
    </row>
    <row r="12" spans="1:13" ht="30">
      <c r="A12" s="71">
        <v>1</v>
      </c>
      <c r="B12" s="70">
        <v>1</v>
      </c>
      <c r="C12" s="22" t="s">
        <v>234</v>
      </c>
      <c r="D12" s="536">
        <v>19</v>
      </c>
      <c r="E12" s="420">
        <v>8688</v>
      </c>
      <c r="F12" s="420">
        <v>7071</v>
      </c>
      <c r="G12" s="26"/>
      <c r="H12" s="71">
        <v>1</v>
      </c>
      <c r="I12" s="70">
        <v>1</v>
      </c>
      <c r="J12" s="78" t="s">
        <v>256</v>
      </c>
      <c r="K12" s="534">
        <v>15</v>
      </c>
      <c r="L12" s="590">
        <v>13351</v>
      </c>
      <c r="M12" s="420">
        <v>12493</v>
      </c>
    </row>
    <row r="13" spans="1:13" ht="30" customHeight="1">
      <c r="A13" s="64" t="s">
        <v>311</v>
      </c>
      <c r="B13" s="72">
        <v>1</v>
      </c>
      <c r="C13" s="23" t="s">
        <v>235</v>
      </c>
      <c r="D13" s="541"/>
      <c r="E13" s="421">
        <v>6910</v>
      </c>
      <c r="F13" s="422">
        <v>5800</v>
      </c>
      <c r="G13" s="26"/>
      <c r="H13" s="101" t="s">
        <v>311</v>
      </c>
      <c r="I13" s="72">
        <v>1</v>
      </c>
      <c r="J13" s="23" t="s">
        <v>259</v>
      </c>
      <c r="K13" s="535"/>
      <c r="L13" s="591">
        <v>13351</v>
      </c>
      <c r="M13" s="422">
        <v>12493</v>
      </c>
    </row>
    <row r="14" spans="1:13" ht="30">
      <c r="A14" s="64" t="s">
        <v>312</v>
      </c>
      <c r="B14" s="72">
        <v>1</v>
      </c>
      <c r="C14" s="23" t="s">
        <v>236</v>
      </c>
      <c r="D14" s="541"/>
      <c r="E14" s="421">
        <v>1778</v>
      </c>
      <c r="F14" s="422">
        <v>1271</v>
      </c>
      <c r="G14" s="26"/>
      <c r="H14" s="538">
        <v>2</v>
      </c>
      <c r="I14" s="70">
        <v>1</v>
      </c>
      <c r="J14" s="22" t="s">
        <v>112</v>
      </c>
      <c r="K14" s="536">
        <v>17</v>
      </c>
      <c r="L14" s="591">
        <v>503</v>
      </c>
      <c r="M14" s="422">
        <v>466</v>
      </c>
    </row>
    <row r="15" spans="1:13" ht="28.5" customHeight="1">
      <c r="A15" s="71">
        <v>2</v>
      </c>
      <c r="B15" s="70">
        <v>1</v>
      </c>
      <c r="C15" s="78" t="s">
        <v>237</v>
      </c>
      <c r="D15" s="534">
        <v>20</v>
      </c>
      <c r="E15" s="423">
        <v>6578</v>
      </c>
      <c r="F15" s="420">
        <v>5663</v>
      </c>
      <c r="G15" s="26"/>
      <c r="H15" s="71">
        <v>3</v>
      </c>
      <c r="I15" s="70">
        <v>1</v>
      </c>
      <c r="J15" s="78" t="s">
        <v>347</v>
      </c>
      <c r="K15" s="534">
        <v>16</v>
      </c>
      <c r="L15" s="592">
        <v>1892</v>
      </c>
      <c r="M15" s="567">
        <v>1031</v>
      </c>
    </row>
    <row r="16" spans="1:13" ht="35.25" customHeight="1">
      <c r="A16" s="64" t="s">
        <v>311</v>
      </c>
      <c r="B16" s="72">
        <v>1</v>
      </c>
      <c r="C16" s="23" t="s">
        <v>238</v>
      </c>
      <c r="D16" s="541"/>
      <c r="E16" s="421">
        <v>5084</v>
      </c>
      <c r="F16" s="422">
        <v>4374</v>
      </c>
      <c r="G16" s="26"/>
      <c r="H16" s="234" t="s">
        <v>230</v>
      </c>
      <c r="I16" s="72">
        <v>1</v>
      </c>
      <c r="J16" s="80" t="s">
        <v>65</v>
      </c>
      <c r="K16" s="537"/>
      <c r="L16" s="593">
        <v>15746</v>
      </c>
      <c r="M16" s="426">
        <v>13990</v>
      </c>
    </row>
    <row r="17" spans="1:13" ht="27.75" customHeight="1">
      <c r="A17" s="64" t="s">
        <v>312</v>
      </c>
      <c r="B17" s="72">
        <v>1</v>
      </c>
      <c r="C17" s="23" t="s">
        <v>331</v>
      </c>
      <c r="D17" s="541"/>
      <c r="E17" s="421">
        <v>1494</v>
      </c>
      <c r="F17" s="422">
        <v>1289</v>
      </c>
      <c r="G17" s="26"/>
      <c r="H17" s="225" t="s">
        <v>230</v>
      </c>
      <c r="I17" s="569">
        <v>1</v>
      </c>
      <c r="J17" s="570" t="s">
        <v>69</v>
      </c>
      <c r="K17" s="537"/>
      <c r="L17" s="590">
        <v>15746</v>
      </c>
      <c r="M17" s="420">
        <v>13990</v>
      </c>
    </row>
    <row r="18" spans="1:13" ht="28.5" customHeight="1">
      <c r="A18" s="71">
        <v>3</v>
      </c>
      <c r="B18" s="70">
        <v>1</v>
      </c>
      <c r="C18" s="78" t="s">
        <v>241</v>
      </c>
      <c r="D18" s="534">
        <v>3</v>
      </c>
      <c r="E18" s="423">
        <v>405</v>
      </c>
      <c r="F18" s="420">
        <v>460</v>
      </c>
      <c r="G18" s="26"/>
      <c r="H18" s="573">
        <v>4</v>
      </c>
      <c r="I18" s="72">
        <v>1</v>
      </c>
      <c r="J18" s="78" t="s">
        <v>269</v>
      </c>
      <c r="K18" s="537"/>
      <c r="L18" s="594">
        <v>1358</v>
      </c>
      <c r="M18" s="419"/>
    </row>
    <row r="19" spans="1:13" ht="38.25" customHeight="1">
      <c r="A19" s="64" t="s">
        <v>311</v>
      </c>
      <c r="B19" s="72">
        <v>1</v>
      </c>
      <c r="C19" s="79" t="s">
        <v>242</v>
      </c>
      <c r="D19" s="542"/>
      <c r="E19" s="423">
        <v>295</v>
      </c>
      <c r="F19" s="420">
        <v>309</v>
      </c>
      <c r="G19" s="26"/>
      <c r="H19" s="568"/>
      <c r="I19" s="571"/>
      <c r="J19" s="572" t="s">
        <v>71</v>
      </c>
      <c r="K19" s="574"/>
      <c r="L19" s="594">
        <v>15746</v>
      </c>
      <c r="M19" s="588">
        <v>13990</v>
      </c>
    </row>
    <row r="20" spans="1:13" ht="33" customHeight="1">
      <c r="A20" s="64" t="s">
        <v>300</v>
      </c>
      <c r="B20" s="72">
        <v>1</v>
      </c>
      <c r="C20" s="23" t="s">
        <v>243</v>
      </c>
      <c r="D20" s="541"/>
      <c r="E20" s="421">
        <v>295</v>
      </c>
      <c r="F20" s="422">
        <v>309</v>
      </c>
      <c r="G20" s="26"/>
      <c r="H20" s="71">
        <v>5</v>
      </c>
      <c r="I20" s="70">
        <f>IF(K20+L20=0,"",1)</f>
        <v>1</v>
      </c>
      <c r="J20" s="22" t="s">
        <v>271</v>
      </c>
      <c r="K20" s="75"/>
      <c r="L20" s="595">
        <v>1358</v>
      </c>
      <c r="M20" s="419"/>
    </row>
    <row r="21" spans="1:13" ht="33.75" customHeight="1">
      <c r="A21" s="64" t="s">
        <v>311</v>
      </c>
      <c r="B21" s="72">
        <v>1</v>
      </c>
      <c r="C21" s="79" t="s">
        <v>245</v>
      </c>
      <c r="D21" s="542"/>
      <c r="E21" s="421">
        <v>110</v>
      </c>
      <c r="F21" s="422">
        <v>151</v>
      </c>
      <c r="G21" s="26"/>
      <c r="H21" s="71">
        <v>6</v>
      </c>
      <c r="I21" s="70">
        <f>IF(K21+L21=0,"",1)</f>
        <v>1</v>
      </c>
      <c r="J21" s="78" t="s">
        <v>350</v>
      </c>
      <c r="K21" s="574"/>
      <c r="L21" s="595">
        <v>1358</v>
      </c>
      <c r="M21" s="575"/>
    </row>
    <row r="22" spans="1:13" ht="34.5" customHeight="1">
      <c r="A22" s="71">
        <v>4</v>
      </c>
      <c r="B22" s="70">
        <v>1</v>
      </c>
      <c r="C22" s="78" t="s">
        <v>246</v>
      </c>
      <c r="D22" s="534">
        <v>21</v>
      </c>
      <c r="E22" s="424">
        <v>1192</v>
      </c>
      <c r="F22" s="425">
        <v>664</v>
      </c>
      <c r="G22" s="26"/>
      <c r="H22" s="190"/>
      <c r="I22" s="19"/>
      <c r="J22" s="19"/>
      <c r="K22" s="19"/>
      <c r="L22" s="431"/>
      <c r="M22" s="430"/>
    </row>
    <row r="23" spans="1:13" ht="30" customHeight="1">
      <c r="A23" s="64" t="s">
        <v>311</v>
      </c>
      <c r="B23" s="72">
        <v>1</v>
      </c>
      <c r="C23" s="23" t="s">
        <v>247</v>
      </c>
      <c r="D23" s="541"/>
      <c r="E23" s="421">
        <v>568</v>
      </c>
      <c r="F23" s="422">
        <v>295</v>
      </c>
      <c r="G23" s="26"/>
      <c r="H23" s="191"/>
      <c r="I23" s="12"/>
      <c r="J23" s="12"/>
      <c r="K23" s="12"/>
      <c r="L23" s="431"/>
      <c r="M23" s="432"/>
    </row>
    <row r="24" spans="1:13" ht="27" customHeight="1">
      <c r="A24" s="234" t="s">
        <v>230</v>
      </c>
      <c r="B24" s="72">
        <v>1</v>
      </c>
      <c r="C24" s="80" t="s">
        <v>66</v>
      </c>
      <c r="D24" s="537"/>
      <c r="E24" s="423">
        <v>16863</v>
      </c>
      <c r="F24" s="420">
        <v>13858</v>
      </c>
      <c r="G24" s="26"/>
      <c r="H24" s="191"/>
      <c r="I24" s="12"/>
      <c r="J24" s="13"/>
      <c r="K24" s="13"/>
      <c r="L24" s="433"/>
      <c r="M24" s="434"/>
    </row>
    <row r="25" spans="1:13" ht="38.25" customHeight="1">
      <c r="A25" s="71">
        <v>5</v>
      </c>
      <c r="B25" s="70">
        <v>1</v>
      </c>
      <c r="C25" s="22" t="s">
        <v>251</v>
      </c>
      <c r="D25" s="536">
        <v>22</v>
      </c>
      <c r="E25" s="426">
        <v>241</v>
      </c>
      <c r="F25" s="426">
        <v>112</v>
      </c>
      <c r="G25" s="26"/>
      <c r="H25" s="192"/>
      <c r="I25" s="15"/>
      <c r="J25" s="15"/>
      <c r="K25" s="15"/>
      <c r="L25" s="433"/>
      <c r="M25" s="434"/>
    </row>
    <row r="26" spans="1:13" ht="34.5" customHeight="1">
      <c r="A26" s="64" t="s">
        <v>300</v>
      </c>
      <c r="B26" s="72">
        <v>1</v>
      </c>
      <c r="C26" s="23" t="s">
        <v>319</v>
      </c>
      <c r="D26" s="541"/>
      <c r="E26" s="421">
        <v>215</v>
      </c>
      <c r="F26" s="422">
        <v>103</v>
      </c>
      <c r="G26" s="26"/>
      <c r="H26" s="193"/>
      <c r="I26" s="111"/>
      <c r="J26" s="111"/>
      <c r="K26" s="111"/>
      <c r="L26" s="433"/>
      <c r="M26" s="434"/>
    </row>
    <row r="27" spans="1:13" ht="28.5" customHeight="1">
      <c r="A27" s="64" t="s">
        <v>300</v>
      </c>
      <c r="B27" s="72">
        <v>1</v>
      </c>
      <c r="C27" s="79" t="s">
        <v>320</v>
      </c>
      <c r="D27" s="542"/>
      <c r="E27" s="421">
        <v>26</v>
      </c>
      <c r="F27" s="422">
        <v>9</v>
      </c>
      <c r="G27" s="26"/>
      <c r="H27" s="194"/>
      <c r="I27" s="361"/>
      <c r="J27" s="15"/>
      <c r="K27" s="15"/>
      <c r="L27" s="433"/>
      <c r="M27" s="434"/>
    </row>
    <row r="28" spans="1:13" ht="33" customHeight="1">
      <c r="A28" s="234" t="s">
        <v>230</v>
      </c>
      <c r="B28" s="72">
        <v>1</v>
      </c>
      <c r="C28" s="80" t="s">
        <v>67</v>
      </c>
      <c r="D28" s="537"/>
      <c r="E28" s="423">
        <v>241</v>
      </c>
      <c r="F28" s="420">
        <v>112</v>
      </c>
      <c r="G28" s="26"/>
      <c r="H28" s="194"/>
      <c r="I28" s="361"/>
      <c r="J28" s="361"/>
      <c r="K28" s="450"/>
      <c r="L28" s="433"/>
      <c r="M28" s="434"/>
    </row>
    <row r="29" spans="1:13" ht="32.25" customHeight="1">
      <c r="A29" s="234" t="s">
        <v>230</v>
      </c>
      <c r="B29" s="72">
        <v>1</v>
      </c>
      <c r="C29" s="80" t="s">
        <v>68</v>
      </c>
      <c r="D29" s="537"/>
      <c r="E29" s="423">
        <v>17104</v>
      </c>
      <c r="F29" s="420">
        <v>13970</v>
      </c>
      <c r="G29" s="26"/>
      <c r="H29" s="194"/>
      <c r="I29" s="561"/>
      <c r="J29" s="561"/>
      <c r="K29" s="561"/>
      <c r="L29" s="433"/>
      <c r="M29" s="434"/>
    </row>
    <row r="30" spans="1:13" ht="30.75" customHeight="1">
      <c r="A30" s="71">
        <v>6</v>
      </c>
      <c r="B30" s="70">
        <v>1</v>
      </c>
      <c r="C30" s="78" t="s">
        <v>252</v>
      </c>
      <c r="D30" s="534"/>
      <c r="E30" s="423">
        <v>0</v>
      </c>
      <c r="F30" s="420">
        <v>20</v>
      </c>
      <c r="G30" s="26"/>
      <c r="H30" s="194"/>
      <c r="I30" s="561"/>
      <c r="J30" s="561"/>
      <c r="K30" s="561"/>
      <c r="L30" s="433"/>
      <c r="M30" s="434"/>
    </row>
    <row r="31" spans="1:24" ht="32.25" customHeight="1">
      <c r="A31" s="234" t="s">
        <v>230</v>
      </c>
      <c r="B31" s="72">
        <v>1</v>
      </c>
      <c r="C31" s="80" t="s">
        <v>70</v>
      </c>
      <c r="D31" s="537"/>
      <c r="E31" s="427">
        <v>17104</v>
      </c>
      <c r="F31" s="426">
        <v>13970</v>
      </c>
      <c r="G31" s="26"/>
      <c r="H31" s="194"/>
      <c r="I31" s="561"/>
      <c r="J31" s="561"/>
      <c r="K31" s="561"/>
      <c r="L31" s="433"/>
      <c r="M31" s="434"/>
      <c r="X31" s="9" t="s">
        <v>211</v>
      </c>
    </row>
    <row r="32" spans="1:24" ht="42" customHeight="1">
      <c r="A32" s="71">
        <v>7</v>
      </c>
      <c r="B32" s="70">
        <v>1</v>
      </c>
      <c r="C32" s="22" t="s">
        <v>254</v>
      </c>
      <c r="D32" s="536"/>
      <c r="E32" s="423">
        <v>0</v>
      </c>
      <c r="F32" s="420">
        <v>20</v>
      </c>
      <c r="G32" s="26"/>
      <c r="H32" s="194"/>
      <c r="I32" s="361"/>
      <c r="J32" s="361"/>
      <c r="K32" s="450"/>
      <c r="L32" s="433"/>
      <c r="M32" s="434"/>
      <c r="X32" s="9" t="s">
        <v>71</v>
      </c>
    </row>
    <row r="33" spans="1:24" ht="30" customHeight="1">
      <c r="A33" s="71">
        <v>8</v>
      </c>
      <c r="B33" s="70">
        <v>1</v>
      </c>
      <c r="C33" s="80" t="s">
        <v>214</v>
      </c>
      <c r="D33" s="534">
        <v>23</v>
      </c>
      <c r="E33" s="428">
        <v>0</v>
      </c>
      <c r="F33" s="429">
        <v>1</v>
      </c>
      <c r="G33" s="26"/>
      <c r="H33" s="282"/>
      <c r="L33" s="433"/>
      <c r="M33" s="434"/>
      <c r="W33" s="9" t="s">
        <v>318</v>
      </c>
      <c r="X33" s="9" t="s">
        <v>211</v>
      </c>
    </row>
    <row r="34" spans="1:24" ht="30.75" customHeight="1">
      <c r="A34" s="71">
        <v>9</v>
      </c>
      <c r="B34" s="70">
        <v>1</v>
      </c>
      <c r="C34" s="81" t="s">
        <v>351</v>
      </c>
      <c r="D34" s="536">
        <v>4</v>
      </c>
      <c r="E34" s="428">
        <v>0</v>
      </c>
      <c r="F34" s="429">
        <v>5</v>
      </c>
      <c r="G34" s="26"/>
      <c r="H34" s="282"/>
      <c r="L34" s="433"/>
      <c r="M34" s="434"/>
      <c r="O34" s="34"/>
      <c r="P34" s="35"/>
      <c r="Q34" s="35"/>
      <c r="W34" s="9" t="s">
        <v>313</v>
      </c>
      <c r="X34" s="9" t="s">
        <v>326</v>
      </c>
    </row>
    <row r="35" spans="1:23" ht="32.25" customHeight="1" thickBot="1">
      <c r="A35" s="235">
        <v>10</v>
      </c>
      <c r="B35" s="83">
        <v>1</v>
      </c>
      <c r="C35" s="236" t="s">
        <v>255</v>
      </c>
      <c r="D35" s="539">
        <v>9</v>
      </c>
      <c r="E35" s="577">
        <v>0</v>
      </c>
      <c r="F35" s="578">
        <v>14</v>
      </c>
      <c r="G35" s="26"/>
      <c r="H35" s="282"/>
      <c r="L35" s="576"/>
      <c r="M35" s="576"/>
      <c r="O35" s="34"/>
      <c r="P35" s="35"/>
      <c r="Q35" s="35"/>
      <c r="W35" s="9" t="s">
        <v>327</v>
      </c>
    </row>
    <row r="36" spans="1:16" ht="37.5" customHeight="1" thickBot="1">
      <c r="A36" s="579"/>
      <c r="B36" s="580">
        <v>1</v>
      </c>
      <c r="C36" s="581" t="s">
        <v>328</v>
      </c>
      <c r="D36" s="582"/>
      <c r="E36" s="583">
        <v>17104</v>
      </c>
      <c r="F36" s="584">
        <v>13990</v>
      </c>
      <c r="G36" s="10"/>
      <c r="H36" s="579"/>
      <c r="I36" s="585">
        <v>1</v>
      </c>
      <c r="J36" s="586" t="s">
        <v>348</v>
      </c>
      <c r="K36" s="586"/>
      <c r="L36" s="587">
        <v>17104</v>
      </c>
      <c r="M36" s="584">
        <v>13990</v>
      </c>
      <c r="P36" s="37"/>
    </row>
    <row r="37" spans="3:15" ht="33.75" customHeight="1">
      <c r="C37" s="435" t="s">
        <v>344</v>
      </c>
      <c r="D37" s="435"/>
      <c r="E37" s="19"/>
      <c r="F37" s="20"/>
      <c r="G37" s="19"/>
      <c r="H37" s="110"/>
      <c r="I37" s="19"/>
      <c r="J37" s="19"/>
      <c r="K37" s="19"/>
      <c r="L37" s="12"/>
      <c r="M37" s="10"/>
      <c r="N37" s="11"/>
      <c r="O37" s="11"/>
    </row>
    <row r="38" spans="3:15" ht="16.5" customHeight="1">
      <c r="C38" s="416" t="s">
        <v>314</v>
      </c>
      <c r="D38" s="416"/>
      <c r="E38" s="12"/>
      <c r="F38" s="12"/>
      <c r="G38" s="12"/>
      <c r="H38" s="13"/>
      <c r="I38" s="12"/>
      <c r="J38" s="12"/>
      <c r="K38" s="12"/>
      <c r="L38" s="12"/>
      <c r="M38" s="10"/>
      <c r="N38" s="11"/>
      <c r="O38" s="11"/>
    </row>
    <row r="39" spans="3:15" ht="16.5" customHeight="1">
      <c r="C39" s="416"/>
      <c r="D39" s="416"/>
      <c r="E39" s="12"/>
      <c r="F39" s="12"/>
      <c r="G39" s="12"/>
      <c r="H39" s="13"/>
      <c r="I39" s="12"/>
      <c r="J39" s="12"/>
      <c r="K39" s="12"/>
      <c r="L39" s="12"/>
      <c r="M39" s="10"/>
      <c r="N39" s="11"/>
      <c r="O39" s="11"/>
    </row>
    <row r="40" spans="3:15" ht="16.5" customHeight="1">
      <c r="C40" s="484" t="s">
        <v>354</v>
      </c>
      <c r="D40" s="484"/>
      <c r="E40" s="485"/>
      <c r="F40" s="485"/>
      <c r="G40" s="486"/>
      <c r="H40" s="487"/>
      <c r="I40" s="488"/>
      <c r="J40" s="489"/>
      <c r="K40" s="489"/>
      <c r="L40" s="12"/>
      <c r="M40" s="10"/>
      <c r="N40" s="11"/>
      <c r="O40" s="11"/>
    </row>
    <row r="41" spans="3:15" ht="16.5" customHeight="1">
      <c r="C41" s="490" t="s">
        <v>353</v>
      </c>
      <c r="D41" s="490"/>
      <c r="E41" s="491"/>
      <c r="F41" s="491"/>
      <c r="G41" s="491"/>
      <c r="H41" s="491"/>
      <c r="I41" s="492"/>
      <c r="J41" s="491"/>
      <c r="K41" s="491"/>
      <c r="N41" s="11"/>
      <c r="O41" s="11"/>
    </row>
    <row r="42" spans="3:11" ht="93.75" customHeight="1">
      <c r="C42" s="417" t="s">
        <v>325</v>
      </c>
      <c r="D42" s="455"/>
      <c r="E42" s="15"/>
      <c r="F42" s="15"/>
      <c r="G42" s="15"/>
      <c r="H42" s="15"/>
      <c r="I42" s="15"/>
      <c r="J42" s="15"/>
      <c r="K42" s="15"/>
    </row>
    <row r="43" spans="3:13" ht="15.75" customHeight="1">
      <c r="C43" s="435" t="s">
        <v>321</v>
      </c>
      <c r="D43" s="435"/>
      <c r="E43" s="15"/>
      <c r="F43" s="15"/>
      <c r="G43" s="111"/>
      <c r="H43" s="111"/>
      <c r="I43" s="111"/>
      <c r="J43" s="111"/>
      <c r="K43" s="111"/>
      <c r="L43" s="447"/>
      <c r="M43" s="529"/>
    </row>
    <row r="44" spans="3:12" ht="94.5" customHeight="1">
      <c r="C44" s="416" t="s">
        <v>324</v>
      </c>
      <c r="D44" s="416"/>
      <c r="E44" s="361"/>
      <c r="F44" s="361"/>
      <c r="G44" s="361"/>
      <c r="H44" s="361"/>
      <c r="I44" s="361"/>
      <c r="J44" s="361"/>
      <c r="K44" s="450"/>
      <c r="L44" s="447">
        <v>2</v>
      </c>
    </row>
    <row r="45" spans="3:11" ht="18.75">
      <c r="C45" s="416" t="s">
        <v>322</v>
      </c>
      <c r="D45" s="416"/>
      <c r="E45" s="361"/>
      <c r="F45" s="361"/>
      <c r="G45" s="361"/>
      <c r="H45" s="361"/>
      <c r="I45" s="361"/>
      <c r="J45" s="361"/>
      <c r="K45" s="450"/>
    </row>
    <row r="46" spans="3:4" ht="17.25" customHeight="1" hidden="1">
      <c r="C46" s="24"/>
      <c r="D46" s="24"/>
    </row>
    <row r="47" spans="3:4" ht="18.75" hidden="1">
      <c r="C47" s="24"/>
      <c r="D47" s="24"/>
    </row>
    <row r="48" spans="3:4" ht="18.75" hidden="1">
      <c r="C48" s="24"/>
      <c r="D48" s="24"/>
    </row>
    <row r="49" spans="3:4" ht="14.25" customHeight="1" hidden="1">
      <c r="C49" s="24"/>
      <c r="D49" s="24"/>
    </row>
    <row r="50" spans="3:4" ht="18.75" hidden="1">
      <c r="C50" s="24"/>
      <c r="D50" s="24"/>
    </row>
    <row r="51" spans="3:4" ht="18.75" hidden="1">
      <c r="C51" s="24"/>
      <c r="D51" s="24"/>
    </row>
    <row r="52" spans="3:12" ht="18.75" hidden="1">
      <c r="C52" s="24"/>
      <c r="D52" s="24"/>
      <c r="L52" s="24">
        <v>2</v>
      </c>
    </row>
    <row r="53" spans="3:4" ht="18.75" hidden="1">
      <c r="C53" s="24"/>
      <c r="D53" s="24"/>
    </row>
    <row r="54" spans="3:4" ht="18.75" hidden="1">
      <c r="C54" s="24"/>
      <c r="D54" s="24"/>
    </row>
    <row r="55" spans="3:4" ht="18.75" hidden="1">
      <c r="C55" s="24"/>
      <c r="D55" s="24"/>
    </row>
    <row r="56" ht="12.75" hidden="1"/>
  </sheetData>
  <sheetProtection/>
  <mergeCells count="14">
    <mergeCell ref="E7:F7"/>
    <mergeCell ref="J7:J9"/>
    <mergeCell ref="L7:M7"/>
    <mergeCell ref="E8:E9"/>
    <mergeCell ref="D7:D9"/>
    <mergeCell ref="K7:K9"/>
    <mergeCell ref="F8:F9"/>
    <mergeCell ref="L8:L9"/>
    <mergeCell ref="C1:M1"/>
    <mergeCell ref="C2:M2"/>
    <mergeCell ref="C3:M3"/>
    <mergeCell ref="M8:M9"/>
    <mergeCell ref="C4:M4"/>
    <mergeCell ref="C7:C9"/>
  </mergeCells>
  <dataValidations count="1">
    <dataValidation type="whole" operator="greaterThanOrEqual" allowBlank="1" showInputMessage="1" showErrorMessage="1" sqref="K20:L20 L21">
      <formula1>0</formula1>
    </dataValidation>
  </dataValidation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theme="3" tint="0.7999799847602844"/>
  </sheetPr>
  <dimension ref="A1:M55"/>
  <sheetViews>
    <sheetView view="pageBreakPreview" zoomScale="90" zoomScaleSheetLayoutView="90" zoomScalePageLayoutView="0" workbookViewId="0" topLeftCell="A1">
      <selection activeCell="C37" sqref="C37"/>
    </sheetView>
  </sheetViews>
  <sheetFormatPr defaultColWidth="9.140625" defaultRowHeight="12.75"/>
  <cols>
    <col min="1" max="1" width="2.8515625" style="9" customWidth="1"/>
    <col min="2" max="2" width="3.421875" style="9" hidden="1" customWidth="1"/>
    <col min="3" max="3" width="57.00390625" style="9" customWidth="1"/>
    <col min="4" max="4" width="11.8515625" style="9" customWidth="1"/>
    <col min="5" max="5" width="14.421875" style="9" customWidth="1"/>
    <col min="6" max="6" width="13.140625" style="9" customWidth="1"/>
    <col min="7" max="7" width="12.7109375" style="9" customWidth="1"/>
    <col min="8" max="8" width="15.140625" style="9" customWidth="1"/>
    <col min="9" max="10" width="13.7109375" style="9" customWidth="1"/>
    <col min="11" max="16384" width="9.140625" style="9" customWidth="1"/>
  </cols>
  <sheetData>
    <row r="1" spans="1:4" ht="12.75">
      <c r="A1" s="654"/>
      <c r="B1" s="654"/>
      <c r="C1" s="654"/>
      <c r="D1" s="453"/>
    </row>
    <row r="2" spans="1:13" ht="23.25">
      <c r="A2" s="712" t="s">
        <v>3</v>
      </c>
      <c r="B2" s="712"/>
      <c r="C2" s="712"/>
      <c r="D2" s="712"/>
      <c r="E2" s="712"/>
      <c r="F2" s="712"/>
      <c r="G2" s="712"/>
      <c r="H2" s="712"/>
      <c r="I2" s="712"/>
      <c r="J2" s="712"/>
      <c r="M2" s="238"/>
    </row>
    <row r="3" spans="1:10" ht="23.25">
      <c r="A3" s="712" t="s">
        <v>145</v>
      </c>
      <c r="B3" s="712"/>
      <c r="C3" s="712"/>
      <c r="D3" s="712"/>
      <c r="E3" s="712"/>
      <c r="F3" s="712"/>
      <c r="G3" s="712"/>
      <c r="H3" s="712"/>
      <c r="I3" s="712"/>
      <c r="J3" s="712"/>
    </row>
    <row r="4" spans="1:10" ht="23.25">
      <c r="A4" s="712" t="s">
        <v>337</v>
      </c>
      <c r="B4" s="712"/>
      <c r="C4" s="712"/>
      <c r="D4" s="712"/>
      <c r="E4" s="712"/>
      <c r="F4" s="712"/>
      <c r="G4" s="712"/>
      <c r="H4" s="712"/>
      <c r="I4" s="712"/>
      <c r="J4" s="712"/>
    </row>
    <row r="5" spans="1:10" ht="21" customHeight="1">
      <c r="A5" s="712" t="s">
        <v>343</v>
      </c>
      <c r="B5" s="712"/>
      <c r="C5" s="712"/>
      <c r="D5" s="712"/>
      <c r="E5" s="712"/>
      <c r="F5" s="712"/>
      <c r="G5" s="712"/>
      <c r="H5" s="712"/>
      <c r="I5" s="712"/>
      <c r="J5" s="712"/>
    </row>
    <row r="6" spans="1:10" ht="19.5" customHeight="1">
      <c r="A6" s="558"/>
      <c r="B6" s="558"/>
      <c r="C6" s="558"/>
      <c r="D6" s="558"/>
      <c r="E6" s="558" t="s">
        <v>340</v>
      </c>
      <c r="F6" s="558"/>
      <c r="G6" s="558"/>
      <c r="H6" s="558"/>
      <c r="I6" s="558"/>
      <c r="J6" s="558"/>
    </row>
    <row r="7" spans="1:10" ht="12.75">
      <c r="A7" s="239"/>
      <c r="B7" s="239"/>
      <c r="C7" s="239"/>
      <c r="D7" s="239"/>
      <c r="E7" s="239"/>
      <c r="F7" s="239"/>
      <c r="G7" s="239"/>
      <c r="H7" s="239"/>
      <c r="I7" s="239"/>
      <c r="J7" s="240"/>
    </row>
    <row r="8" spans="1:10" ht="14.25">
      <c r="A8" s="656" t="s">
        <v>4</v>
      </c>
      <c r="B8" s="657"/>
      <c r="C8" s="648"/>
      <c r="D8" s="706" t="s">
        <v>334</v>
      </c>
      <c r="E8" s="655" t="s">
        <v>5</v>
      </c>
      <c r="F8" s="655"/>
      <c r="G8" s="655"/>
      <c r="H8" s="655" t="s">
        <v>6</v>
      </c>
      <c r="I8" s="655"/>
      <c r="J8" s="655"/>
    </row>
    <row r="9" spans="1:10" ht="30">
      <c r="A9" s="658"/>
      <c r="B9" s="659"/>
      <c r="C9" s="660"/>
      <c r="D9" s="696"/>
      <c r="E9" s="451" t="s">
        <v>7</v>
      </c>
      <c r="F9" s="451" t="s">
        <v>8</v>
      </c>
      <c r="G9" s="443" t="s">
        <v>332</v>
      </c>
      <c r="H9" s="451" t="s">
        <v>7</v>
      </c>
      <c r="I9" s="451" t="s">
        <v>8</v>
      </c>
      <c r="J9" s="443" t="s">
        <v>333</v>
      </c>
    </row>
    <row r="10" spans="1:10" ht="13.5" thickBot="1">
      <c r="A10" s="653" t="s">
        <v>10</v>
      </c>
      <c r="B10" s="653"/>
      <c r="C10" s="653"/>
      <c r="D10" s="452"/>
      <c r="E10" s="452">
        <v>1</v>
      </c>
      <c r="F10" s="452">
        <v>2</v>
      </c>
      <c r="G10" s="452">
        <v>3</v>
      </c>
      <c r="H10" s="452">
        <v>4</v>
      </c>
      <c r="I10" s="452">
        <v>5</v>
      </c>
      <c r="J10" s="452">
        <v>6</v>
      </c>
    </row>
    <row r="11" spans="1:10" ht="30" customHeight="1" thickTop="1">
      <c r="A11" s="241" t="s">
        <v>11</v>
      </c>
      <c r="B11" s="241"/>
      <c r="C11" s="242" t="s">
        <v>12</v>
      </c>
      <c r="D11" s="242"/>
      <c r="E11" s="436"/>
      <c r="F11" s="436"/>
      <c r="G11" s="436"/>
      <c r="H11" s="436"/>
      <c r="I11" s="436"/>
      <c r="J11" s="436"/>
    </row>
    <row r="12" spans="1:10" ht="31.5" customHeight="1">
      <c r="A12" s="589">
        <v>1</v>
      </c>
      <c r="B12" s="61">
        <v>1</v>
      </c>
      <c r="C12" s="146" t="s">
        <v>13</v>
      </c>
      <c r="D12" s="146"/>
      <c r="E12" s="437">
        <v>16940</v>
      </c>
      <c r="F12" s="437">
        <v>8629</v>
      </c>
      <c r="G12" s="438">
        <v>8311</v>
      </c>
      <c r="H12" s="437">
        <v>15828</v>
      </c>
      <c r="I12" s="437">
        <v>7895</v>
      </c>
      <c r="J12" s="438">
        <v>7933</v>
      </c>
    </row>
    <row r="13" spans="1:10" ht="29.25" customHeight="1">
      <c r="A13" s="69">
        <v>2</v>
      </c>
      <c r="B13" s="243">
        <v>1</v>
      </c>
      <c r="C13" s="146" t="s">
        <v>14</v>
      </c>
      <c r="D13" s="146"/>
      <c r="E13" s="437">
        <v>0</v>
      </c>
      <c r="F13" s="437">
        <v>6276</v>
      </c>
      <c r="G13" s="438">
        <v>-6276</v>
      </c>
      <c r="H13" s="437">
        <v>6</v>
      </c>
      <c r="I13" s="437">
        <v>5626</v>
      </c>
      <c r="J13" s="438">
        <v>-5620</v>
      </c>
    </row>
    <row r="14" spans="1:10" ht="24" customHeight="1">
      <c r="A14" s="69">
        <v>3</v>
      </c>
      <c r="B14" s="243"/>
      <c r="C14" s="146" t="s">
        <v>336</v>
      </c>
      <c r="D14" s="146"/>
      <c r="E14" s="437"/>
      <c r="F14" s="437">
        <v>1172</v>
      </c>
      <c r="G14" s="438">
        <v>-1172</v>
      </c>
      <c r="H14" s="437"/>
      <c r="I14" s="437">
        <v>1404</v>
      </c>
      <c r="J14" s="438">
        <v>-1404</v>
      </c>
    </row>
    <row r="15" spans="1:10" ht="31.5" customHeight="1">
      <c r="A15" s="69">
        <v>4</v>
      </c>
      <c r="B15" s="244">
        <v>1</v>
      </c>
      <c r="C15" s="146" t="s">
        <v>15</v>
      </c>
      <c r="D15" s="146"/>
      <c r="E15" s="437"/>
      <c r="F15" s="437">
        <v>2</v>
      </c>
      <c r="G15" s="438">
        <v>-2</v>
      </c>
      <c r="H15" s="437"/>
      <c r="I15" s="437">
        <v>8</v>
      </c>
      <c r="J15" s="438">
        <v>-8</v>
      </c>
    </row>
    <row r="16" spans="1:10" ht="30" customHeight="1">
      <c r="A16" s="69">
        <v>5</v>
      </c>
      <c r="B16" s="244">
        <v>1</v>
      </c>
      <c r="C16" s="146" t="s">
        <v>17</v>
      </c>
      <c r="D16" s="146"/>
      <c r="E16" s="437"/>
      <c r="F16" s="437">
        <v>1327</v>
      </c>
      <c r="G16" s="438">
        <v>-1327</v>
      </c>
      <c r="H16" s="437">
        <v>0</v>
      </c>
      <c r="I16" s="437">
        <v>31</v>
      </c>
      <c r="J16" s="438">
        <v>-31</v>
      </c>
    </row>
    <row r="17" spans="1:10" s="248" customFormat="1" ht="30" customHeight="1">
      <c r="A17" s="245" t="s">
        <v>229</v>
      </c>
      <c r="B17" s="246"/>
      <c r="C17" s="247" t="s">
        <v>18</v>
      </c>
      <c r="D17" s="247"/>
      <c r="E17" s="439">
        <v>16940</v>
      </c>
      <c r="F17" s="439">
        <v>17406</v>
      </c>
      <c r="G17" s="439">
        <v>-466</v>
      </c>
      <c r="H17" s="439">
        <v>15834</v>
      </c>
      <c r="I17" s="439">
        <v>14964</v>
      </c>
      <c r="J17" s="439">
        <v>870</v>
      </c>
    </row>
    <row r="18" spans="1:10" ht="30" customHeight="1">
      <c r="A18" s="249" t="s">
        <v>19</v>
      </c>
      <c r="B18" s="249"/>
      <c r="C18" s="250" t="s">
        <v>20</v>
      </c>
      <c r="D18" s="250"/>
      <c r="E18" s="440"/>
      <c r="F18" s="440"/>
      <c r="G18" s="438"/>
      <c r="H18" s="440"/>
      <c r="I18" s="440"/>
      <c r="J18" s="438"/>
    </row>
    <row r="19" spans="1:10" ht="25.5" customHeight="1">
      <c r="A19" s="589">
        <v>1</v>
      </c>
      <c r="B19" s="244">
        <v>1</v>
      </c>
      <c r="C19" s="146" t="s">
        <v>21</v>
      </c>
      <c r="D19" s="146"/>
      <c r="E19" s="437"/>
      <c r="F19" s="437">
        <v>63</v>
      </c>
      <c r="G19" s="438">
        <v>-63</v>
      </c>
      <c r="H19" s="437"/>
      <c r="I19" s="437">
        <v>50</v>
      </c>
      <c r="J19" s="438">
        <v>-50</v>
      </c>
    </row>
    <row r="20" spans="1:10" ht="29.25" customHeight="1">
      <c r="A20" s="69">
        <v>2</v>
      </c>
      <c r="B20" s="244">
        <v>1</v>
      </c>
      <c r="C20" s="146" t="s">
        <v>23</v>
      </c>
      <c r="D20" s="146"/>
      <c r="E20" s="437"/>
      <c r="F20" s="437">
        <v>485</v>
      </c>
      <c r="G20" s="438">
        <v>-485</v>
      </c>
      <c r="H20" s="437"/>
      <c r="I20" s="437">
        <v>417</v>
      </c>
      <c r="J20" s="438">
        <v>-417</v>
      </c>
    </row>
    <row r="21" spans="1:10" ht="30.75" customHeight="1">
      <c r="A21" s="251" t="s">
        <v>230</v>
      </c>
      <c r="B21" s="17"/>
      <c r="C21" s="247" t="s">
        <v>24</v>
      </c>
      <c r="D21" s="247"/>
      <c r="E21" s="441">
        <v>0</v>
      </c>
      <c r="F21" s="441">
        <v>548</v>
      </c>
      <c r="G21" s="441">
        <v>-548</v>
      </c>
      <c r="H21" s="441">
        <v>0</v>
      </c>
      <c r="I21" s="441">
        <v>467</v>
      </c>
      <c r="J21" s="441">
        <v>-467</v>
      </c>
    </row>
    <row r="22" spans="1:10" ht="29.25" customHeight="1">
      <c r="A22" s="249" t="s">
        <v>25</v>
      </c>
      <c r="B22" s="249"/>
      <c r="C22" s="250" t="s">
        <v>26</v>
      </c>
      <c r="D22" s="250"/>
      <c r="E22" s="440"/>
      <c r="F22" s="440"/>
      <c r="G22" s="438">
        <v>0</v>
      </c>
      <c r="H22" s="440"/>
      <c r="I22" s="440"/>
      <c r="J22" s="438">
        <v>0</v>
      </c>
    </row>
    <row r="23" spans="1:10" ht="27" customHeight="1">
      <c r="A23" s="69">
        <v>1</v>
      </c>
      <c r="B23" s="244">
        <v>1</v>
      </c>
      <c r="C23" s="146" t="s">
        <v>108</v>
      </c>
      <c r="D23" s="146"/>
      <c r="E23" s="437">
        <v>2244</v>
      </c>
      <c r="F23" s="437">
        <v>915</v>
      </c>
      <c r="G23" s="438">
        <v>1329</v>
      </c>
      <c r="H23" s="437"/>
      <c r="I23" s="437">
        <v>859</v>
      </c>
      <c r="J23" s="438">
        <v>-859</v>
      </c>
    </row>
    <row r="24" spans="1:10" ht="27" customHeight="1">
      <c r="A24" s="69">
        <v>2</v>
      </c>
      <c r="B24" s="244">
        <v>1</v>
      </c>
      <c r="C24" s="146" t="s">
        <v>109</v>
      </c>
      <c r="D24" s="146"/>
      <c r="E24" s="437"/>
      <c r="F24" s="437">
        <v>73</v>
      </c>
      <c r="G24" s="438">
        <v>-73</v>
      </c>
      <c r="H24" s="437">
        <v>0</v>
      </c>
      <c r="I24" s="437">
        <v>75</v>
      </c>
      <c r="J24" s="438">
        <v>-75</v>
      </c>
    </row>
    <row r="25" spans="1:10" ht="24.75" customHeight="1">
      <c r="A25" s="251" t="s">
        <v>230</v>
      </c>
      <c r="B25" s="17"/>
      <c r="C25" s="247" t="s">
        <v>29</v>
      </c>
      <c r="D25" s="247"/>
      <c r="E25" s="441">
        <v>2244</v>
      </c>
      <c r="F25" s="441">
        <v>988</v>
      </c>
      <c r="G25" s="441">
        <v>1256</v>
      </c>
      <c r="H25" s="441">
        <v>0</v>
      </c>
      <c r="I25" s="441">
        <v>934</v>
      </c>
      <c r="J25" s="441">
        <v>-934</v>
      </c>
    </row>
    <row r="26" spans="1:11" ht="30" customHeight="1">
      <c r="A26" s="249" t="s">
        <v>30</v>
      </c>
      <c r="B26" s="249"/>
      <c r="C26" s="146" t="s">
        <v>31</v>
      </c>
      <c r="D26" s="146"/>
      <c r="E26" s="441">
        <v>19184</v>
      </c>
      <c r="F26" s="441">
        <v>18942</v>
      </c>
      <c r="G26" s="441">
        <v>242</v>
      </c>
      <c r="H26" s="441">
        <v>15834</v>
      </c>
      <c r="I26" s="441">
        <v>16365</v>
      </c>
      <c r="J26" s="441">
        <v>-531</v>
      </c>
      <c r="K26" s="198"/>
    </row>
    <row r="27" spans="1:11" ht="30" customHeight="1">
      <c r="A27" s="249" t="s">
        <v>32</v>
      </c>
      <c r="B27" s="249"/>
      <c r="C27" s="146" t="s">
        <v>33</v>
      </c>
      <c r="D27" s="146"/>
      <c r="E27" s="440"/>
      <c r="F27" s="440"/>
      <c r="G27" s="441">
        <v>271</v>
      </c>
      <c r="H27" s="440"/>
      <c r="I27" s="440"/>
      <c r="J27" s="442">
        <v>802</v>
      </c>
      <c r="K27" s="252">
        <v>0</v>
      </c>
    </row>
    <row r="28" spans="1:11" ht="37.5" customHeight="1">
      <c r="A28" s="249" t="s">
        <v>34</v>
      </c>
      <c r="B28" s="249"/>
      <c r="C28" s="250" t="s">
        <v>35</v>
      </c>
      <c r="D28" s="250">
        <v>7</v>
      </c>
      <c r="E28" s="440"/>
      <c r="F28" s="440"/>
      <c r="G28" s="441">
        <v>513</v>
      </c>
      <c r="H28" s="440"/>
      <c r="I28" s="440"/>
      <c r="J28" s="441">
        <v>271</v>
      </c>
      <c r="K28" s="252">
        <v>0</v>
      </c>
    </row>
    <row r="29" spans="1:11" s="239" customFormat="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253"/>
    </row>
    <row r="30" spans="1:11" ht="18.75">
      <c r="A30" s="710" t="s">
        <v>344</v>
      </c>
      <c r="B30" s="710"/>
      <c r="C30" s="710"/>
      <c r="D30" s="454"/>
      <c r="E30" s="505"/>
      <c r="F30" s="498"/>
      <c r="G30" s="498"/>
      <c r="H30" s="497"/>
      <c r="I30" s="10"/>
      <c r="J30" s="11"/>
      <c r="K30" s="11"/>
    </row>
    <row r="31" spans="1:11" ht="18.75" customHeight="1">
      <c r="A31" s="711" t="s">
        <v>314</v>
      </c>
      <c r="B31" s="711"/>
      <c r="C31" s="711"/>
      <c r="D31" s="455"/>
      <c r="E31" s="499"/>
      <c r="F31" s="499"/>
      <c r="G31" s="499"/>
      <c r="H31" s="499"/>
      <c r="I31" s="10"/>
      <c r="J31" s="11"/>
      <c r="K31" s="11"/>
    </row>
    <row r="32" spans="1:11" ht="18.75" customHeight="1">
      <c r="A32" s="455"/>
      <c r="B32" s="455"/>
      <c r="C32" s="455"/>
      <c r="D32" s="455"/>
      <c r="E32" s="499"/>
      <c r="F32" s="499"/>
      <c r="G32" s="499"/>
      <c r="H32" s="499"/>
      <c r="I32" s="10"/>
      <c r="J32" s="11"/>
      <c r="K32" s="11"/>
    </row>
    <row r="33" spans="1:11" ht="18.75" customHeight="1">
      <c r="A33" s="455"/>
      <c r="B33" s="455"/>
      <c r="C33" s="455"/>
      <c r="D33" s="455"/>
      <c r="E33" s="499"/>
      <c r="F33" s="499"/>
      <c r="G33" s="499"/>
      <c r="H33" s="499"/>
      <c r="I33" s="10"/>
      <c r="J33" s="11"/>
      <c r="K33" s="11"/>
    </row>
    <row r="34" spans="1:11" ht="18.75" customHeight="1">
      <c r="A34" s="506" t="s">
        <v>355</v>
      </c>
      <c r="B34" s="507"/>
      <c r="C34" s="507"/>
      <c r="D34" s="508"/>
      <c r="E34" s="509"/>
      <c r="F34" s="497"/>
      <c r="G34" s="498"/>
      <c r="H34" s="498"/>
      <c r="I34" s="10"/>
      <c r="J34" s="11"/>
      <c r="K34" s="11"/>
    </row>
    <row r="35" spans="1:11" ht="18.75" customHeight="1">
      <c r="A35" s="510" t="s">
        <v>356</v>
      </c>
      <c r="B35" s="499"/>
      <c r="C35" s="499"/>
      <c r="D35" s="499"/>
      <c r="E35" s="499"/>
      <c r="F35" s="500"/>
      <c r="G35" s="499"/>
      <c r="H35" s="499"/>
      <c r="I35" s="10"/>
      <c r="J35" s="11"/>
      <c r="K35" s="11"/>
    </row>
    <row r="36" spans="1:8" s="12" customFormat="1" ht="18.75">
      <c r="A36" s="444"/>
      <c r="B36" s="444"/>
      <c r="C36" s="444"/>
      <c r="D36" s="444"/>
      <c r="E36" s="501"/>
      <c r="F36" s="499"/>
      <c r="G36" s="501"/>
      <c r="H36" s="499"/>
    </row>
    <row r="37" spans="1:8" s="12" customFormat="1" ht="18.75">
      <c r="A37" s="444"/>
      <c r="B37" s="444"/>
      <c r="C37" s="444"/>
      <c r="D37" s="444"/>
      <c r="E37" s="501"/>
      <c r="F37" s="499"/>
      <c r="G37" s="501"/>
      <c r="H37" s="499"/>
    </row>
    <row r="38" spans="1:8" ht="93.75" customHeight="1">
      <c r="A38" s="711" t="s">
        <v>325</v>
      </c>
      <c r="B38" s="711"/>
      <c r="C38" s="711"/>
      <c r="D38" s="455"/>
      <c r="E38" s="502"/>
      <c r="F38" s="502"/>
      <c r="G38" s="502"/>
      <c r="H38" s="24"/>
    </row>
    <row r="39" spans="1:9" ht="15.75" customHeight="1">
      <c r="A39" s="710" t="s">
        <v>321</v>
      </c>
      <c r="B39" s="710"/>
      <c r="C39" s="710"/>
      <c r="D39" s="454"/>
      <c r="E39" s="24"/>
      <c r="F39" s="502"/>
      <c r="G39" s="502"/>
      <c r="H39" s="502"/>
      <c r="I39" s="15"/>
    </row>
    <row r="40" spans="1:8" ht="21.75" customHeight="1">
      <c r="A40" s="445"/>
      <c r="B40" s="445"/>
      <c r="C40" s="455"/>
      <c r="D40" s="455"/>
      <c r="E40" s="502"/>
      <c r="F40" s="455"/>
      <c r="G40" s="502"/>
      <c r="H40" s="24"/>
    </row>
    <row r="41" spans="1:8" ht="21.75" customHeight="1">
      <c r="A41" s="445"/>
      <c r="B41" s="445"/>
      <c r="C41" s="455"/>
      <c r="D41" s="455"/>
      <c r="E41" s="502"/>
      <c r="F41" s="455"/>
      <c r="G41" s="502"/>
      <c r="H41" s="24"/>
    </row>
    <row r="42" spans="1:8" ht="93" customHeight="1">
      <c r="A42" s="711" t="s">
        <v>324</v>
      </c>
      <c r="B42" s="711"/>
      <c r="C42" s="711"/>
      <c r="D42" s="455"/>
      <c r="E42" s="502"/>
      <c r="F42" s="502"/>
      <c r="G42" s="502"/>
      <c r="H42" s="24"/>
    </row>
    <row r="43" spans="1:8" ht="18.75">
      <c r="A43" s="711" t="s">
        <v>323</v>
      </c>
      <c r="B43" s="711"/>
      <c r="C43" s="711"/>
      <c r="D43" s="455"/>
      <c r="E43" s="502"/>
      <c r="F43" s="502"/>
      <c r="G43" s="502"/>
      <c r="H43" s="24"/>
    </row>
    <row r="44" spans="1:4" ht="15.75">
      <c r="A44" s="447"/>
      <c r="B44" s="447"/>
      <c r="C44" s="447"/>
      <c r="D44" s="447"/>
    </row>
    <row r="45" spans="1:4" ht="15.75">
      <c r="A45" s="483"/>
      <c r="B45" s="483"/>
      <c r="C45" s="447"/>
      <c r="D45" s="447"/>
    </row>
    <row r="46" spans="1:2" ht="12.75">
      <c r="A46" s="41"/>
      <c r="B46" s="41"/>
    </row>
    <row r="47" spans="1:2" ht="12.75">
      <c r="A47" s="41"/>
      <c r="B47" s="41"/>
    </row>
    <row r="48" ht="15.75">
      <c r="I48" s="447">
        <v>3</v>
      </c>
    </row>
    <row r="49" ht="15.75">
      <c r="I49" s="447"/>
    </row>
    <row r="50" ht="15.75">
      <c r="I50" s="447"/>
    </row>
    <row r="53" ht="6" customHeight="1"/>
    <row r="54" ht="12.75" hidden="1"/>
    <row r="55" ht="29.25" customHeight="1" hidden="1">
      <c r="I55" s="24">
        <v>3</v>
      </c>
    </row>
    <row r="56" ht="12.75" hidden="1"/>
    <row r="57" ht="12.75" hidden="1"/>
    <row r="58" ht="12.75" hidden="1"/>
    <row r="59" ht="12.75" hidden="1"/>
  </sheetData>
  <sheetProtection/>
  <mergeCells count="16">
    <mergeCell ref="A10:C10"/>
    <mergeCell ref="A1:C1"/>
    <mergeCell ref="A2:J2"/>
    <mergeCell ref="A3:J3"/>
    <mergeCell ref="A4:J4"/>
    <mergeCell ref="A5:J5"/>
    <mergeCell ref="A8:C9"/>
    <mergeCell ref="E8:G8"/>
    <mergeCell ref="H8:J8"/>
    <mergeCell ref="D8:D9"/>
    <mergeCell ref="A30:C30"/>
    <mergeCell ref="A31:C31"/>
    <mergeCell ref="A38:C38"/>
    <mergeCell ref="A39:C39"/>
    <mergeCell ref="A42:C42"/>
    <mergeCell ref="A43:C4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2">
    <tabColor theme="3" tint="0.7999799847602844"/>
  </sheetPr>
  <dimension ref="A1:K42"/>
  <sheetViews>
    <sheetView tabSelected="1" view="pageBreakPreview" zoomScale="80" zoomScaleNormal="85" zoomScaleSheetLayoutView="80" zoomScalePageLayoutView="0" workbookViewId="0" topLeftCell="A1">
      <selection activeCell="B31" sqref="B31:D31"/>
    </sheetView>
  </sheetViews>
  <sheetFormatPr defaultColWidth="9.140625" defaultRowHeight="12.75"/>
  <cols>
    <col min="1" max="1" width="3.421875" style="58" customWidth="1"/>
    <col min="2" max="2" width="46.00390625" style="67" customWidth="1"/>
    <col min="3" max="3" width="7.28125" style="67" customWidth="1"/>
    <col min="4" max="4" width="10.57421875" style="67" customWidth="1"/>
    <col min="5" max="5" width="9.57421875" style="67" customWidth="1"/>
    <col min="6" max="6" width="11.7109375" style="67" customWidth="1"/>
    <col min="7" max="7" width="12.57421875" style="67" customWidth="1"/>
    <col min="8" max="8" width="11.140625" style="67" customWidth="1"/>
    <col min="9" max="9" width="10.140625" style="67" customWidth="1"/>
    <col min="10" max="16384" width="9.140625" style="67" customWidth="1"/>
  </cols>
  <sheetData>
    <row r="1" spans="2:9" ht="15">
      <c r="B1" s="254"/>
      <c r="C1" s="254"/>
      <c r="D1" s="255"/>
      <c r="E1" s="255"/>
      <c r="F1" s="255"/>
      <c r="G1" s="255"/>
      <c r="H1" s="255"/>
      <c r="I1" s="255"/>
    </row>
    <row r="2" spans="2:9" ht="15">
      <c r="B2" s="256"/>
      <c r="C2" s="256"/>
      <c r="D2" s="257"/>
      <c r="E2" s="257"/>
      <c r="F2" s="667"/>
      <c r="G2" s="667"/>
      <c r="H2" s="667"/>
      <c r="I2" s="667"/>
    </row>
    <row r="3" spans="2:9" ht="20.25">
      <c r="B3" s="258" t="s">
        <v>3</v>
      </c>
      <c r="C3" s="258"/>
      <c r="D3" s="257"/>
      <c r="E3" s="257"/>
      <c r="F3" s="372"/>
      <c r="G3" s="372"/>
      <c r="H3" s="372"/>
      <c r="I3" s="372"/>
    </row>
    <row r="4" spans="2:9" ht="20.25">
      <c r="B4" s="258" t="s">
        <v>146</v>
      </c>
      <c r="C4" s="258"/>
      <c r="D4" s="257"/>
      <c r="E4" s="257"/>
      <c r="F4" s="372"/>
      <c r="G4" s="372"/>
      <c r="H4" s="372"/>
      <c r="I4" s="372"/>
    </row>
    <row r="5" spans="2:9" ht="20.25">
      <c r="B5" s="258" t="str">
        <f>ime_firma</f>
        <v>ВОДОСНАБДЯВАНЕ И КАНАЛИЗАЦИЯ ЕООД</v>
      </c>
      <c r="C5" s="258"/>
      <c r="D5" s="257"/>
      <c r="E5" s="257"/>
      <c r="F5" s="372"/>
      <c r="G5" s="372"/>
      <c r="H5" s="372"/>
      <c r="I5" s="372"/>
    </row>
    <row r="6" spans="2:9" ht="20.25">
      <c r="B6" s="258" t="str">
        <f>CONCATENATE("за ",TEXT(data_na_otcheta,"yyyy г."))</f>
        <v>за 2019 г.</v>
      </c>
      <c r="C6" s="258"/>
      <c r="D6" s="257"/>
      <c r="E6" s="257"/>
      <c r="F6" s="372"/>
      <c r="G6" s="372"/>
      <c r="H6" s="372"/>
      <c r="I6" s="372"/>
    </row>
    <row r="7" spans="2:9" ht="20.25">
      <c r="B7" s="258" t="s">
        <v>340</v>
      </c>
      <c r="C7" s="258"/>
      <c r="D7" s="257"/>
      <c r="E7" s="257"/>
      <c r="F7" s="557"/>
      <c r="G7" s="557"/>
      <c r="H7" s="557"/>
      <c r="I7" s="557"/>
    </row>
    <row r="8" spans="2:9" ht="15.75">
      <c r="B8" s="259"/>
      <c r="C8" s="259"/>
      <c r="D8" s="259"/>
      <c r="E8" s="259"/>
      <c r="F8" s="259"/>
      <c r="G8" s="259"/>
      <c r="H8" s="259"/>
      <c r="I8" s="260" t="s">
        <v>36</v>
      </c>
    </row>
    <row r="9" spans="1:9" ht="15" customHeight="1">
      <c r="A9" s="662" t="s">
        <v>37</v>
      </c>
      <c r="B9" s="662"/>
      <c r="C9" s="664" t="s">
        <v>334</v>
      </c>
      <c r="D9" s="664" t="s">
        <v>38</v>
      </c>
      <c r="E9" s="664" t="s">
        <v>45</v>
      </c>
      <c r="F9" s="664" t="s">
        <v>46</v>
      </c>
      <c r="G9" s="668" t="s">
        <v>47</v>
      </c>
      <c r="H9" s="664" t="s">
        <v>42</v>
      </c>
      <c r="I9" s="664" t="s">
        <v>43</v>
      </c>
    </row>
    <row r="10" spans="1:9" ht="15" customHeight="1">
      <c r="A10" s="662"/>
      <c r="B10" s="662"/>
      <c r="C10" s="707"/>
      <c r="D10" s="665"/>
      <c r="E10" s="665"/>
      <c r="F10" s="665"/>
      <c r="G10" s="669"/>
      <c r="H10" s="665"/>
      <c r="I10" s="665"/>
    </row>
    <row r="11" spans="1:9" ht="45.75" customHeight="1" thickBot="1">
      <c r="A11" s="663"/>
      <c r="B11" s="663"/>
      <c r="C11" s="708"/>
      <c r="D11" s="666"/>
      <c r="E11" s="666"/>
      <c r="F11" s="666"/>
      <c r="G11" s="670"/>
      <c r="H11" s="666"/>
      <c r="I11" s="666"/>
    </row>
    <row r="12" spans="1:11" ht="15.75" thickTop="1">
      <c r="A12" s="141" t="s">
        <v>229</v>
      </c>
      <c r="B12" s="140" t="s">
        <v>288</v>
      </c>
      <c r="C12" s="528"/>
      <c r="D12" s="73">
        <v>1</v>
      </c>
      <c r="E12" s="27">
        <v>2</v>
      </c>
      <c r="F12" s="27">
        <v>3</v>
      </c>
      <c r="G12" s="27">
        <v>4</v>
      </c>
      <c r="H12" s="27">
        <v>5</v>
      </c>
      <c r="I12" s="27">
        <v>6</v>
      </c>
      <c r="J12" s="261"/>
      <c r="K12" s="261"/>
    </row>
    <row r="13" spans="1:11" ht="30.75" customHeight="1">
      <c r="A13" s="107">
        <v>1</v>
      </c>
      <c r="B13" s="80" t="s">
        <v>215</v>
      </c>
      <c r="C13" s="543"/>
      <c r="D13" s="544">
        <v>339</v>
      </c>
      <c r="E13" s="545">
        <v>1993</v>
      </c>
      <c r="F13" s="545">
        <v>687</v>
      </c>
      <c r="G13" s="545">
        <v>-1022</v>
      </c>
      <c r="H13" s="545">
        <v>14</v>
      </c>
      <c r="I13" s="546">
        <v>2011</v>
      </c>
      <c r="J13" s="261"/>
      <c r="K13" s="261"/>
    </row>
    <row r="14" spans="1:11" ht="30" customHeight="1">
      <c r="A14" s="63">
        <v>2</v>
      </c>
      <c r="B14" s="23" t="s">
        <v>216</v>
      </c>
      <c r="C14" s="547"/>
      <c r="D14" s="548"/>
      <c r="E14" s="549"/>
      <c r="F14" s="549"/>
      <c r="G14" s="549"/>
      <c r="H14" s="549"/>
      <c r="I14" s="546">
        <v>0</v>
      </c>
      <c r="J14" s="261"/>
      <c r="K14" s="261"/>
    </row>
    <row r="15" spans="1:9" ht="39.75" customHeight="1">
      <c r="A15" s="446">
        <v>3</v>
      </c>
      <c r="B15" s="262" t="s">
        <v>218</v>
      </c>
      <c r="C15" s="550"/>
      <c r="D15" s="551">
        <v>339</v>
      </c>
      <c r="E15" s="546">
        <v>1993</v>
      </c>
      <c r="F15" s="546">
        <v>687</v>
      </c>
      <c r="G15" s="546">
        <v>-1022</v>
      </c>
      <c r="H15" s="546">
        <v>14</v>
      </c>
      <c r="I15" s="546">
        <v>2011</v>
      </c>
    </row>
    <row r="16" spans="1:9" ht="34.5" customHeight="1">
      <c r="A16" s="63">
        <v>4</v>
      </c>
      <c r="B16" s="23" t="s">
        <v>220</v>
      </c>
      <c r="C16" s="547"/>
      <c r="D16" s="548"/>
      <c r="E16" s="549"/>
      <c r="F16" s="549"/>
      <c r="G16" s="549"/>
      <c r="H16" s="552">
        <v>-1358</v>
      </c>
      <c r="I16" s="546">
        <v>-1358</v>
      </c>
    </row>
    <row r="17" spans="1:9" ht="35.25" customHeight="1">
      <c r="A17" s="63">
        <v>5</v>
      </c>
      <c r="B17" s="23" t="s">
        <v>349</v>
      </c>
      <c r="C17" s="547"/>
      <c r="D17" s="548"/>
      <c r="E17" s="549">
        <v>14</v>
      </c>
      <c r="F17" s="549"/>
      <c r="G17" s="549">
        <v>0</v>
      </c>
      <c r="H17" s="549">
        <v>-14</v>
      </c>
      <c r="I17" s="546">
        <v>0</v>
      </c>
    </row>
    <row r="18" spans="1:9" ht="34.5" customHeight="1">
      <c r="A18" s="107">
        <v>6</v>
      </c>
      <c r="B18" s="80" t="s">
        <v>225</v>
      </c>
      <c r="C18" s="543"/>
      <c r="D18" s="551">
        <v>339</v>
      </c>
      <c r="E18" s="546">
        <v>2007</v>
      </c>
      <c r="F18" s="546">
        <v>687</v>
      </c>
      <c r="G18" s="546">
        <v>-1022</v>
      </c>
      <c r="H18" s="546">
        <v>-1358</v>
      </c>
      <c r="I18" s="546">
        <v>653</v>
      </c>
    </row>
    <row r="19" spans="1:9" ht="37.5" customHeight="1">
      <c r="A19" s="107">
        <v>7</v>
      </c>
      <c r="B19" s="78" t="s">
        <v>227</v>
      </c>
      <c r="C19" s="553">
        <v>9</v>
      </c>
      <c r="D19" s="551">
        <v>339</v>
      </c>
      <c r="E19" s="546">
        <v>2007</v>
      </c>
      <c r="F19" s="546">
        <v>687</v>
      </c>
      <c r="G19" s="546">
        <v>-1022</v>
      </c>
      <c r="H19" s="546">
        <v>-1358</v>
      </c>
      <c r="I19" s="546">
        <v>653</v>
      </c>
    </row>
    <row r="20" spans="1:9" s="265" customFormat="1" ht="14.25">
      <c r="A20" s="59"/>
      <c r="D20" s="266" t="s">
        <v>211</v>
      </c>
      <c r="E20" s="266" t="s">
        <v>211</v>
      </c>
      <c r="F20" s="266" t="s">
        <v>211</v>
      </c>
      <c r="G20" s="266" t="s">
        <v>211</v>
      </c>
      <c r="H20" s="266" t="s">
        <v>211</v>
      </c>
      <c r="I20" s="266" t="s">
        <v>211</v>
      </c>
    </row>
    <row r="21" spans="1:9" s="268" customFormat="1" ht="14.25" hidden="1">
      <c r="A21" s="62"/>
      <c r="B21" s="267"/>
      <c r="C21" s="267"/>
      <c r="D21" s="267">
        <v>1</v>
      </c>
      <c r="E21" s="267">
        <v>1</v>
      </c>
      <c r="F21" s="267">
        <v>1</v>
      </c>
      <c r="G21" s="267">
        <v>1</v>
      </c>
      <c r="H21" s="267">
        <v>1</v>
      </c>
      <c r="I21" s="267">
        <v>1</v>
      </c>
    </row>
    <row r="22" spans="1:10" s="148" customFormat="1" ht="27" customHeight="1">
      <c r="A22" s="60"/>
      <c r="B22" s="511" t="s">
        <v>344</v>
      </c>
      <c r="C22" s="511"/>
      <c r="D22" s="512">
        <v>1</v>
      </c>
      <c r="E22" s="512">
        <v>2</v>
      </c>
      <c r="F22" s="512">
        <v>3</v>
      </c>
      <c r="G22" s="512">
        <v>4</v>
      </c>
      <c r="H22" s="512">
        <v>5</v>
      </c>
      <c r="I22" s="512">
        <v>6</v>
      </c>
      <c r="J22" s="513"/>
    </row>
    <row r="23" spans="1:10" s="148" customFormat="1" ht="16.5">
      <c r="A23" s="60"/>
      <c r="B23" s="713" t="s">
        <v>314</v>
      </c>
      <c r="C23" s="713"/>
      <c r="D23" s="713"/>
      <c r="E23" s="514"/>
      <c r="F23" s="514"/>
      <c r="G23" s="514"/>
      <c r="H23" s="514"/>
      <c r="I23" s="513"/>
      <c r="J23" s="513"/>
    </row>
    <row r="24" spans="1:10" s="148" customFormat="1" ht="16.5">
      <c r="A24" s="60"/>
      <c r="B24" s="515"/>
      <c r="C24" s="515"/>
      <c r="D24" s="515"/>
      <c r="E24" s="514"/>
      <c r="F24" s="514"/>
      <c r="G24" s="514"/>
      <c r="H24" s="514"/>
      <c r="I24" s="513"/>
      <c r="J24" s="513"/>
    </row>
    <row r="25" spans="1:10" s="148" customFormat="1" ht="16.5">
      <c r="A25" s="60"/>
      <c r="B25" s="516" t="s">
        <v>357</v>
      </c>
      <c r="C25" s="516"/>
      <c r="D25" s="517"/>
      <c r="E25" s="517"/>
      <c r="F25" s="518"/>
      <c r="G25" s="519"/>
      <c r="H25" s="520"/>
      <c r="I25" s="514"/>
      <c r="J25" s="513"/>
    </row>
    <row r="26" spans="1:10" s="148" customFormat="1" ht="16.5">
      <c r="A26" s="60"/>
      <c r="B26" s="521" t="s">
        <v>358</v>
      </c>
      <c r="C26" s="521"/>
      <c r="D26" s="513"/>
      <c r="E26" s="513"/>
      <c r="F26" s="513"/>
      <c r="G26" s="513"/>
      <c r="H26" s="522"/>
      <c r="I26" s="513"/>
      <c r="J26" s="513"/>
    </row>
    <row r="27" spans="1:10" s="148" customFormat="1" ht="16.5">
      <c r="A27" s="60"/>
      <c r="B27" s="523"/>
      <c r="C27" s="523"/>
      <c r="D27" s="523"/>
      <c r="E27" s="513"/>
      <c r="F27" s="513"/>
      <c r="G27" s="513"/>
      <c r="H27" s="513"/>
      <c r="I27" s="513"/>
      <c r="J27" s="513"/>
    </row>
    <row r="28" spans="2:10" ht="93" customHeight="1">
      <c r="B28" s="524" t="s">
        <v>325</v>
      </c>
      <c r="C28" s="524"/>
      <c r="D28" s="524"/>
      <c r="E28" s="525"/>
      <c r="F28" s="525"/>
      <c r="G28" s="525"/>
      <c r="H28" s="525"/>
      <c r="I28" s="525"/>
      <c r="J28" s="525"/>
    </row>
    <row r="29" spans="2:10" ht="16.5">
      <c r="B29" s="526" t="s">
        <v>321</v>
      </c>
      <c r="C29" s="526"/>
      <c r="D29" s="524"/>
      <c r="E29" s="525"/>
      <c r="F29" s="525"/>
      <c r="G29" s="525"/>
      <c r="H29" s="525"/>
      <c r="I29" s="525"/>
      <c r="J29" s="525"/>
    </row>
    <row r="30" spans="2:10" ht="17.25">
      <c r="B30" s="527"/>
      <c r="C30" s="527"/>
      <c r="D30" s="515"/>
      <c r="E30" s="525"/>
      <c r="F30" s="525"/>
      <c r="G30" s="525"/>
      <c r="H30" s="525"/>
      <c r="I30" s="525"/>
      <c r="J30" s="525"/>
    </row>
    <row r="31" spans="2:10" ht="118.5" customHeight="1">
      <c r="B31" s="713" t="s">
        <v>324</v>
      </c>
      <c r="C31" s="713"/>
      <c r="D31" s="713"/>
      <c r="E31" s="525"/>
      <c r="F31" s="525"/>
      <c r="G31" s="525"/>
      <c r="H31" s="525"/>
      <c r="I31" s="525"/>
      <c r="J31" s="525"/>
    </row>
    <row r="32" spans="2:10" ht="16.5">
      <c r="B32" s="713" t="s">
        <v>323</v>
      </c>
      <c r="C32" s="713"/>
      <c r="D32" s="713"/>
      <c r="E32" s="525"/>
      <c r="F32" s="525"/>
      <c r="G32" s="525"/>
      <c r="H32" s="525"/>
      <c r="I32" s="525"/>
      <c r="J32" s="525"/>
    </row>
    <row r="33" spans="2:10" ht="16.5">
      <c r="B33" s="525"/>
      <c r="C33" s="525"/>
      <c r="D33" s="525"/>
      <c r="E33" s="525"/>
      <c r="F33" s="525"/>
      <c r="G33" s="525"/>
      <c r="H33" s="525"/>
      <c r="I33" s="525"/>
      <c r="J33" s="525"/>
    </row>
    <row r="34" spans="2:10" ht="16.5">
      <c r="B34" s="525"/>
      <c r="C34" s="525"/>
      <c r="D34" s="525"/>
      <c r="E34" s="525"/>
      <c r="F34" s="525"/>
      <c r="G34" s="525"/>
      <c r="H34" s="525"/>
      <c r="I34" s="525"/>
      <c r="J34" s="525"/>
    </row>
    <row r="35" spans="2:10" ht="16.5">
      <c r="B35" s="525"/>
      <c r="C35" s="525"/>
      <c r="D35" s="525"/>
      <c r="E35" s="525"/>
      <c r="F35" s="525"/>
      <c r="G35" s="525"/>
      <c r="H35" s="525"/>
      <c r="I35" s="525"/>
      <c r="J35" s="525"/>
    </row>
    <row r="36" spans="2:10" ht="16.5">
      <c r="B36" s="525"/>
      <c r="C36" s="525"/>
      <c r="D36" s="525"/>
      <c r="E36" s="525"/>
      <c r="F36" s="525"/>
      <c r="G36" s="525"/>
      <c r="H36" s="525"/>
      <c r="I36" s="525"/>
      <c r="J36" s="525"/>
    </row>
    <row r="37" spans="2:10" ht="16.5">
      <c r="B37" s="525"/>
      <c r="C37" s="525"/>
      <c r="D37" s="525"/>
      <c r="E37" s="525"/>
      <c r="F37" s="525"/>
      <c r="G37" s="525"/>
      <c r="H37" s="525"/>
      <c r="I37" s="525"/>
      <c r="J37" s="525"/>
    </row>
    <row r="38" spans="2:3" ht="15">
      <c r="B38" s="41"/>
      <c r="C38" s="41"/>
    </row>
    <row r="39" spans="2:3" ht="15">
      <c r="B39" s="41"/>
      <c r="C39" s="41"/>
    </row>
    <row r="40" spans="2:3" ht="15">
      <c r="B40" s="41"/>
      <c r="C40" s="41"/>
    </row>
    <row r="41" ht="15"/>
    <row r="42" ht="18.75">
      <c r="H42" s="24">
        <v>4</v>
      </c>
    </row>
  </sheetData>
  <sheetProtection formatColumns="0" formatRows="0" deleteColumns="0" deleteRows="0"/>
  <mergeCells count="12">
    <mergeCell ref="F2:I2"/>
    <mergeCell ref="A9:B11"/>
    <mergeCell ref="E9:E11"/>
    <mergeCell ref="F9:F11"/>
    <mergeCell ref="D9:D11"/>
    <mergeCell ref="G9:G11"/>
    <mergeCell ref="H9:H11"/>
    <mergeCell ref="I9:I11"/>
    <mergeCell ref="B23:D23"/>
    <mergeCell ref="B31:D31"/>
    <mergeCell ref="B32:D32"/>
    <mergeCell ref="C9:C11"/>
  </mergeCells>
  <printOptions/>
  <pageMargins left="0.7874015748031497" right="0.3937007874015748" top="0.2755905511811024" bottom="0" header="0.5118110236220472" footer="0.5118110236220472"/>
  <pageSetup horizontalDpi="600" verticalDpi="600" orientation="portrait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3:G33"/>
  <sheetViews>
    <sheetView zoomScale="85" zoomScaleNormal="85" zoomScalePageLayoutView="0" workbookViewId="0" topLeftCell="A58">
      <selection activeCell="AB70" sqref="AB70"/>
    </sheetView>
  </sheetViews>
  <sheetFormatPr defaultColWidth="8.421875" defaultRowHeight="12.75"/>
  <cols>
    <col min="1" max="1" width="3.00390625" style="16" customWidth="1"/>
    <col min="2" max="2" width="0.2890625" style="9" hidden="1" customWidth="1"/>
    <col min="3" max="3" width="44.8515625" style="9" customWidth="1"/>
    <col min="4" max="5" width="11.7109375" style="9" customWidth="1"/>
    <col min="6" max="6" width="3.57421875" style="9" customWidth="1"/>
    <col min="7" max="7" width="2.140625" style="9" customWidth="1"/>
    <col min="8" max="14" width="8.421875" style="9" customWidth="1"/>
    <col min="15" max="15" width="0" style="9" hidden="1" customWidth="1"/>
    <col min="16" max="16" width="12.421875" style="9" hidden="1" customWidth="1"/>
    <col min="17" max="17" width="0" style="9" hidden="1" customWidth="1"/>
    <col min="18" max="16384" width="8.421875" style="9" customWidth="1"/>
  </cols>
  <sheetData>
    <row r="3" ht="12.75">
      <c r="A3" s="9"/>
    </row>
    <row r="4" ht="12.75">
      <c r="A4" s="9"/>
    </row>
    <row r="5" ht="12.75">
      <c r="A5" s="9"/>
    </row>
    <row r="6" ht="12.75">
      <c r="A6" s="9"/>
    </row>
    <row r="7" ht="15" customHeight="1">
      <c r="A7" s="9"/>
    </row>
    <row r="8" ht="47.25" customHeight="1">
      <c r="A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spans="1:7" ht="51" customHeight="1">
      <c r="A14" s="9"/>
      <c r="F14" s="11"/>
      <c r="G14" s="11"/>
    </row>
    <row r="15" spans="1:7" ht="18.75" customHeight="1">
      <c r="A15" s="9"/>
      <c r="F15" s="11"/>
      <c r="G15" s="11"/>
    </row>
    <row r="16" s="12" customFormat="1" ht="12.75"/>
    <row r="17" ht="42" customHeight="1">
      <c r="A17" s="9"/>
    </row>
    <row r="18" ht="15.75" customHeight="1">
      <c r="A18" s="9"/>
    </row>
    <row r="19" ht="21.75" customHeight="1">
      <c r="A19" s="9"/>
    </row>
    <row r="20" ht="27" customHeight="1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>
    <tabColor theme="0"/>
  </sheetPr>
  <dimension ref="A1:K42"/>
  <sheetViews>
    <sheetView zoomScalePageLayoutView="0" workbookViewId="0" topLeftCell="A1">
      <selection activeCell="A2" sqref="A2"/>
    </sheetView>
  </sheetViews>
  <sheetFormatPr defaultColWidth="11.7109375" defaultRowHeight="12.75" outlineLevelRow="1"/>
  <cols>
    <col min="1" max="1" width="45.28125" style="1" customWidth="1"/>
    <col min="2" max="5" width="11.7109375" style="1" customWidth="1"/>
    <col min="6" max="16384" width="11.7109375" style="1" customWidth="1"/>
  </cols>
  <sheetData>
    <row r="1" spans="1:5" ht="19.5" customHeight="1">
      <c r="A1" s="606" t="s">
        <v>111</v>
      </c>
      <c r="B1" s="606"/>
      <c r="C1" s="606"/>
      <c r="D1" s="606"/>
      <c r="E1" s="606"/>
    </row>
    <row r="2" spans="1:5" ht="19.5" customHeight="1">
      <c r="A2" s="112" t="s">
        <v>0</v>
      </c>
      <c r="B2" s="2"/>
      <c r="C2" s="2"/>
      <c r="D2" s="2"/>
      <c r="E2" s="2"/>
    </row>
    <row r="3" spans="1:5" ht="19.5" customHeight="1">
      <c r="A3" s="2" t="s">
        <v>1</v>
      </c>
      <c r="B3" s="4" t="s">
        <v>131</v>
      </c>
      <c r="C3" s="2"/>
      <c r="D3" s="2"/>
      <c r="E3" s="2"/>
    </row>
    <row r="4" spans="1:5" ht="19.5" customHeight="1">
      <c r="A4" s="2" t="s">
        <v>98</v>
      </c>
      <c r="B4" s="2"/>
      <c r="C4" s="2"/>
      <c r="D4" s="2"/>
      <c r="E4" s="2"/>
    </row>
    <row r="5" spans="1:5" ht="19.5" customHeight="1">
      <c r="A5" s="607" t="s">
        <v>99</v>
      </c>
      <c r="B5" s="607"/>
      <c r="C5" s="607"/>
      <c r="D5" s="607"/>
      <c r="E5" s="607"/>
    </row>
    <row r="6" spans="1:5" ht="19.5" customHeight="1">
      <c r="A6" s="2" t="s">
        <v>100</v>
      </c>
      <c r="B6" s="2"/>
      <c r="C6" s="2"/>
      <c r="D6" s="2"/>
      <c r="E6" s="2"/>
    </row>
    <row r="7" spans="1:5" ht="19.5" customHeight="1">
      <c r="A7" s="2" t="s">
        <v>101</v>
      </c>
      <c r="B7" s="2"/>
      <c r="C7" s="2"/>
      <c r="D7" s="2"/>
      <c r="E7" s="2"/>
    </row>
    <row r="8" spans="1:5" ht="19.5" customHeight="1">
      <c r="A8" s="3" t="s">
        <v>110</v>
      </c>
      <c r="B8" s="2"/>
      <c r="C8" s="2"/>
      <c r="D8" s="2"/>
      <c r="E8" s="2"/>
    </row>
    <row r="9" spans="1:5" ht="19.5" customHeight="1" hidden="1" outlineLevel="1">
      <c r="A9" s="112" t="s">
        <v>117</v>
      </c>
      <c r="B9" s="2"/>
      <c r="C9" s="2"/>
      <c r="D9" s="2"/>
      <c r="E9" s="2"/>
    </row>
    <row r="10" spans="1:5" ht="22.5" customHeight="1" hidden="1" outlineLevel="1">
      <c r="A10" s="605" t="s">
        <v>118</v>
      </c>
      <c r="B10" s="605"/>
      <c r="C10" s="605"/>
      <c r="D10" s="605"/>
      <c r="E10" s="605"/>
    </row>
    <row r="11" ht="23.25" customHeight="1" hidden="1" outlineLevel="1">
      <c r="A11" s="113" t="s">
        <v>119</v>
      </c>
    </row>
    <row r="12" ht="20.25" customHeight="1" hidden="1" outlineLevel="1">
      <c r="A12" s="113" t="s">
        <v>120</v>
      </c>
    </row>
    <row r="13" ht="21" customHeight="1" hidden="1" outlineLevel="1">
      <c r="A13" s="113" t="s">
        <v>121</v>
      </c>
    </row>
    <row r="14" ht="21" customHeight="1" hidden="1" outlineLevel="1">
      <c r="A14" s="113" t="s">
        <v>122</v>
      </c>
    </row>
    <row r="15" ht="18" customHeight="1" hidden="1" outlineLevel="1">
      <c r="A15" s="113" t="s">
        <v>123</v>
      </c>
    </row>
    <row r="16" ht="15" hidden="1" outlineLevel="1">
      <c r="A16" s="113" t="s">
        <v>124</v>
      </c>
    </row>
    <row r="17" ht="19.5" customHeight="1" hidden="1" outlineLevel="1">
      <c r="A17" s="113" t="s">
        <v>125</v>
      </c>
    </row>
    <row r="18" ht="18.75" customHeight="1" hidden="1" outlineLevel="1">
      <c r="A18" s="113" t="s">
        <v>126</v>
      </c>
    </row>
    <row r="19" ht="18.75" customHeight="1" hidden="1" outlineLevel="1">
      <c r="A19" s="113" t="s">
        <v>127</v>
      </c>
    </row>
    <row r="20" ht="18.75" customHeight="1" hidden="1" outlineLevel="1">
      <c r="A20" s="113" t="s">
        <v>128</v>
      </c>
    </row>
    <row r="21" ht="18.75" customHeight="1" hidden="1" outlineLevel="1">
      <c r="A21" s="113" t="s">
        <v>129</v>
      </c>
    </row>
    <row r="22" ht="21" customHeight="1" hidden="1" outlineLevel="1">
      <c r="A22" s="113" t="s">
        <v>130</v>
      </c>
    </row>
    <row r="23" ht="15" collapsed="1"/>
    <row r="24" ht="15">
      <c r="A24" s="5"/>
    </row>
    <row r="25" ht="15">
      <c r="A25" s="5"/>
    </row>
    <row r="41" ht="15">
      <c r="K41" s="2"/>
    </row>
    <row r="42" ht="15">
      <c r="K42" s="2"/>
    </row>
  </sheetData>
  <sheetProtection sheet="1"/>
  <mergeCells count="3">
    <mergeCell ref="A10:E10"/>
    <mergeCell ref="A1:E1"/>
    <mergeCell ref="A5:E5"/>
  </mergeCells>
  <hyperlinks>
    <hyperlink ref="A2" location="Баланс!A1" display="1. Счетоводен баланс"/>
    <hyperlink ref="A3" location="ОПР!A1" display="2. Отчет за приходите и разходите"/>
    <hyperlink ref="A5" location="ОСК!A1" display="3. Отчет за собствения капитал"/>
    <hyperlink ref="A6" location="ОПП!A1" display="4. Отчет за паричните потоци"/>
    <hyperlink ref="A7" location="DA!A1" display="5.Справка за дълготрайните активи"/>
    <hyperlink ref="A4" location="'ОПР едностранен'!A1" display="3. ОПР едностранен"/>
    <hyperlink ref="A6:E6" location="ОПП!A1" display="5. Отчет за паричните потоци"/>
    <hyperlink ref="A7:E7" location="DA!A1" display="6.Справка за дълготрайните активи"/>
    <hyperlink ref="A10:E10" location="Разходи!A1" display="8. Приложение разходи"/>
    <hyperlink ref="A11" location="'Финансови р-ди'!A1" display="9. Приложение финансови разходи"/>
    <hyperlink ref="A12" location="Приходи!A1" display="10. Приложение приходи"/>
    <hyperlink ref="A13" location="'Финансови приходи'!A1" display="11. Приложение финансови приходи"/>
    <hyperlink ref="A14" location="'Участия над 20%'!A1" display="12. Участия над 20%"/>
    <hyperlink ref="A16" location="'Персонал 2'!A1" display="14. Приложение Персонал ІІ"/>
    <hyperlink ref="A17" location="'Основен капитал'!A1" display="15. Приложения капитал"/>
    <hyperlink ref="A18" location="Задължения!A1" display="16. Приложение Задължения"/>
    <hyperlink ref="A22" location="'Строителни договори'!A1" display="20. Приложение Строителство"/>
    <hyperlink ref="A9" location="'Материални запаси'!A1" display="7. Материални запаси"/>
    <hyperlink ref="A19" location="'Отсрочени данъци'!A1" display="17. Отсрочени данъци"/>
    <hyperlink ref="A20" location="'Св.лица салда'!Print_Area" display="18. Приложение свързани лица - салда"/>
    <hyperlink ref="A21" location="'Св.лица обеми'!A1" display="19. Приложение свързани лица - обеми"/>
    <hyperlink ref="A15" location="Персонал!A1" display="13. Приложение Персонал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Roman,Regular"&amp;12&amp;A</oddHeader>
    <oddFooter>&amp;C&amp;"Times New Roman,Regular"&amp;12Страница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alok">
    <tabColor rgb="FF002060"/>
    <pageSetUpPr fitToPage="1"/>
  </sheetPr>
  <dimension ref="A1:N84"/>
  <sheetViews>
    <sheetView showGridLines="0" showZeros="0" zoomScale="95" zoomScaleNormal="95" zoomScalePageLayoutView="0" workbookViewId="0" topLeftCell="A1">
      <selection activeCell="E12" sqref="E12"/>
    </sheetView>
  </sheetViews>
  <sheetFormatPr defaultColWidth="6.8515625" defaultRowHeight="12.75" customHeight="1"/>
  <cols>
    <col min="1" max="1" width="3.00390625" style="199" customWidth="1"/>
    <col min="2" max="2" width="6.57421875" style="200" hidden="1" customWidth="1"/>
    <col min="3" max="3" width="10.28125" style="200" customWidth="1"/>
    <col min="4" max="4" width="35.8515625" style="200" customWidth="1"/>
    <col min="5" max="6" width="12.00390625" style="200" customWidth="1"/>
    <col min="7" max="7" width="3.421875" style="199" customWidth="1"/>
    <col min="8" max="8" width="12.00390625" style="200" hidden="1" customWidth="1"/>
    <col min="9" max="9" width="43.00390625" style="200" customWidth="1"/>
    <col min="10" max="11" width="12.140625" style="200" customWidth="1"/>
    <col min="12" max="12" width="6.8515625" style="200" customWidth="1"/>
    <col min="13" max="13" width="11.57421875" style="200" customWidth="1"/>
    <col min="14" max="14" width="13.421875" style="200" customWidth="1"/>
    <col min="15" max="16384" width="6.8515625" style="200" customWidth="1"/>
  </cols>
  <sheetData>
    <row r="1" spans="3:11" ht="18.75" customHeight="1">
      <c r="C1" s="634" t="s">
        <v>53</v>
      </c>
      <c r="D1" s="634"/>
      <c r="E1" s="634"/>
      <c r="F1" s="634"/>
      <c r="G1" s="634"/>
      <c r="H1" s="634"/>
      <c r="I1" s="634"/>
      <c r="J1" s="634"/>
      <c r="K1" s="634"/>
    </row>
    <row r="2" spans="3:11" ht="23.25" customHeight="1">
      <c r="C2" s="634" t="str">
        <f>ime_firma</f>
        <v>ВОДОСНАБДЯВАНЕ И КАНАЛИЗАЦИЯ ЕООД</v>
      </c>
      <c r="D2" s="634"/>
      <c r="E2" s="634"/>
      <c r="F2" s="634"/>
      <c r="G2" s="634"/>
      <c r="H2" s="634"/>
      <c r="I2" s="634"/>
      <c r="J2" s="634"/>
      <c r="K2" s="634"/>
    </row>
    <row r="3" spans="3:11" ht="20.25" customHeight="1">
      <c r="C3" s="634" t="str">
        <f>CONCATENATE("към ",TEXT(data_na_otcheta,"dd.mm.yyyy г."))</f>
        <v>към 31.12.2019 г.</v>
      </c>
      <c r="D3" s="634"/>
      <c r="E3" s="634"/>
      <c r="F3" s="634"/>
      <c r="G3" s="634"/>
      <c r="H3" s="634"/>
      <c r="I3" s="634"/>
      <c r="J3" s="634"/>
      <c r="K3" s="634"/>
    </row>
    <row r="4" spans="3:11" ht="3" customHeight="1" thickBot="1">
      <c r="C4" s="201"/>
      <c r="D4" s="283"/>
      <c r="E4" s="201"/>
      <c r="F4" s="201"/>
      <c r="G4" s="284"/>
      <c r="H4" s="201"/>
      <c r="I4" s="201"/>
      <c r="J4" s="201"/>
      <c r="K4" s="201"/>
    </row>
    <row r="5" spans="1:12" ht="12" customHeight="1">
      <c r="A5" s="616" t="s">
        <v>147</v>
      </c>
      <c r="B5" s="617"/>
      <c r="C5" s="617"/>
      <c r="D5" s="617"/>
      <c r="E5" s="617"/>
      <c r="F5" s="618"/>
      <c r="G5" s="613" t="s">
        <v>148</v>
      </c>
      <c r="H5" s="613"/>
      <c r="I5" s="613"/>
      <c r="J5" s="613"/>
      <c r="K5" s="614"/>
      <c r="L5" s="201"/>
    </row>
    <row r="6" spans="1:12" ht="15" customHeight="1">
      <c r="A6" s="619" t="s">
        <v>150</v>
      </c>
      <c r="B6" s="620"/>
      <c r="C6" s="620"/>
      <c r="D6" s="621"/>
      <c r="E6" s="609" t="s">
        <v>149</v>
      </c>
      <c r="F6" s="610"/>
      <c r="G6" s="608" t="s">
        <v>274</v>
      </c>
      <c r="H6" s="608"/>
      <c r="I6" s="608"/>
      <c r="J6" s="611" t="s">
        <v>149</v>
      </c>
      <c r="K6" s="612"/>
      <c r="L6" s="201"/>
    </row>
    <row r="7" spans="1:12" ht="22.5" customHeight="1">
      <c r="A7" s="619"/>
      <c r="B7" s="620"/>
      <c r="C7" s="620"/>
      <c r="D7" s="621"/>
      <c r="E7" s="275" t="s">
        <v>151</v>
      </c>
      <c r="F7" s="277" t="s">
        <v>152</v>
      </c>
      <c r="G7" s="615"/>
      <c r="H7" s="615"/>
      <c r="I7" s="615"/>
      <c r="J7" s="275" t="s">
        <v>151</v>
      </c>
      <c r="K7" s="277" t="s">
        <v>152</v>
      </c>
      <c r="L7" s="201"/>
    </row>
    <row r="8" spans="1:12" ht="10.5" customHeight="1">
      <c r="A8" s="625" t="s">
        <v>153</v>
      </c>
      <c r="B8" s="608"/>
      <c r="C8" s="608"/>
      <c r="D8" s="608"/>
      <c r="E8" s="202">
        <v>1</v>
      </c>
      <c r="F8" s="285">
        <v>2</v>
      </c>
      <c r="G8" s="608" t="s">
        <v>153</v>
      </c>
      <c r="H8" s="608"/>
      <c r="I8" s="608"/>
      <c r="J8" s="202">
        <v>1</v>
      </c>
      <c r="K8" s="285">
        <v>2</v>
      </c>
      <c r="L8" s="201"/>
    </row>
    <row r="9" spans="1:12" ht="15" customHeight="1">
      <c r="A9" s="127">
        <f>IF(B9="","","A.")</f>
      </c>
      <c r="B9" s="115">
        <f>IF(D9+E9=0,"",1)</f>
      </c>
      <c r="C9" s="622" t="s">
        <v>154</v>
      </c>
      <c r="D9" s="622"/>
      <c r="E9" s="54"/>
      <c r="F9" s="131"/>
      <c r="G9" s="123" t="str">
        <f>IF(H9="","","A.")</f>
        <v>A.</v>
      </c>
      <c r="H9" s="118">
        <f>IF(J24+K24=0,"",1)</f>
        <v>1</v>
      </c>
      <c r="I9" s="278" t="s">
        <v>155</v>
      </c>
      <c r="J9" s="286"/>
      <c r="K9" s="287"/>
      <c r="L9" s="201"/>
    </row>
    <row r="10" spans="1:12" ht="15" customHeight="1">
      <c r="A10" s="127" t="str">
        <f>IF(B10="","",IF(B9="","А.","Б."))</f>
        <v>А.</v>
      </c>
      <c r="B10" s="115">
        <f>IF(E36+F36=0,"",1)</f>
        <v>1</v>
      </c>
      <c r="C10" s="622" t="s">
        <v>156</v>
      </c>
      <c r="D10" s="622"/>
      <c r="E10" s="288"/>
      <c r="F10" s="289"/>
      <c r="G10" s="123" t="str">
        <f>IF(H10="","","I.")</f>
        <v>I.</v>
      </c>
      <c r="H10" s="117">
        <f>IF(bal101_1+K10=0,"",1)</f>
        <v>1</v>
      </c>
      <c r="I10" s="272" t="s">
        <v>38</v>
      </c>
      <c r="J10" s="119">
        <v>339</v>
      </c>
      <c r="K10" s="128">
        <v>339</v>
      </c>
      <c r="L10" s="201"/>
    </row>
    <row r="11" spans="1:12" ht="15" customHeight="1">
      <c r="A11" s="127" t="str">
        <f>IF(B11="","","I.")</f>
        <v>I.</v>
      </c>
      <c r="B11" s="116">
        <f>IF(SUM(B12:B15)=0,"",1)</f>
        <v>1</v>
      </c>
      <c r="C11" s="623" t="s">
        <v>157</v>
      </c>
      <c r="D11" s="623"/>
      <c r="E11" s="288"/>
      <c r="F11" s="289"/>
      <c r="G11" s="123">
        <f>IF(H11="","",IF(H10="","I.","II."))</f>
      </c>
      <c r="H11" s="117">
        <f>IF(balPremii_1+K11=0,"",1)</f>
      </c>
      <c r="I11" s="272" t="s">
        <v>39</v>
      </c>
      <c r="J11" s="119"/>
      <c r="K11" s="128"/>
      <c r="L11" s="201"/>
    </row>
    <row r="12" spans="1:12" ht="15" customHeight="1">
      <c r="A12" s="206">
        <f>IF(B12="","",CONCATENATE(COUNT(B$12),"."))</f>
      </c>
      <c r="B12" s="117">
        <f>IF(balразвойна1+balразвойна0=0,"",1)</f>
      </c>
      <c r="C12" s="624" t="s">
        <v>158</v>
      </c>
      <c r="D12" s="624"/>
      <c r="E12" s="54"/>
      <c r="F12" s="131"/>
      <c r="G12" s="123">
        <f>IF(H12="","",IF(COUNT(H10,H11)=0,"I.",IF(COUNT(H10,H11)=2,"III.","II.")))</f>
      </c>
      <c r="H12" s="117">
        <f>IF(balRezerv_1+K12=0,"",1)</f>
      </c>
      <c r="I12" s="272" t="s">
        <v>159</v>
      </c>
      <c r="J12" s="119"/>
      <c r="K12" s="128"/>
      <c r="L12" s="201"/>
    </row>
    <row r="13" spans="1:12" ht="30" customHeight="1">
      <c r="A13" s="206" t="str">
        <f>IF(B13="","",CONCATENATE(COUNT(B$12:B13),"."))</f>
        <v>1.</v>
      </c>
      <c r="B13" s="117">
        <f>IF(balпатенти1+balпатенти0=0,"",1)</f>
        <v>1</v>
      </c>
      <c r="C13" s="624" t="s">
        <v>160</v>
      </c>
      <c r="D13" s="624"/>
      <c r="E13" s="54">
        <v>45</v>
      </c>
      <c r="F13" s="131">
        <v>63</v>
      </c>
      <c r="G13" s="290" t="str">
        <f>IF(H13="","",IF(COUNT(H10,H11,H12)=0,"I.",IF(COUNT(H10,H11,H12)=3,"IV.",IF(COUNT(H10,H11,H12)=2,"III.","II."))))</f>
        <v>II.</v>
      </c>
      <c r="H13" s="117">
        <f>IF(J18+K18=0,"",1)</f>
        <v>1</v>
      </c>
      <c r="I13" s="272" t="s">
        <v>41</v>
      </c>
      <c r="J13" s="291"/>
      <c r="K13" s="292"/>
      <c r="L13" s="201"/>
    </row>
    <row r="14" spans="1:12" ht="15" customHeight="1">
      <c r="A14" s="206">
        <f>IF(B14="","",CONCATENATE(COUNT(B$12:B14),"."))</f>
      </c>
      <c r="B14" s="117">
        <f>IF(balReputaciq1+balReputaciq0=0,"",1)</f>
      </c>
      <c r="C14" s="624" t="s">
        <v>161</v>
      </c>
      <c r="D14" s="624"/>
      <c r="E14" s="54"/>
      <c r="F14" s="131"/>
      <c r="G14" s="145">
        <f>IF(H14="","",CONCATENATE(COUNT(H$14),"."))</f>
      </c>
      <c r="H14" s="117">
        <f>IF(balZakRezervi_1+K14=0,"",1)</f>
      </c>
      <c r="I14" s="270" t="s">
        <v>162</v>
      </c>
      <c r="J14" s="120"/>
      <c r="K14" s="129"/>
      <c r="L14" s="201"/>
    </row>
    <row r="15" spans="1:12" ht="25.5" customHeight="1">
      <c r="A15" s="206">
        <f>IF(B15="","",CONCATENATE(COUNT(B$12:B15),"."))</f>
      </c>
      <c r="B15" s="117">
        <f>IF(bal207_1+bal207_0=0,"",1)</f>
      </c>
      <c r="C15" s="624" t="s">
        <v>163</v>
      </c>
      <c r="D15" s="624"/>
      <c r="E15" s="54"/>
      <c r="F15" s="131"/>
      <c r="G15" s="145">
        <f>IF(H15="","",CONCATENATE(COUNT(H$14:H15),"."))</f>
      </c>
      <c r="H15" s="117">
        <f>IF(balRezerviAkcii_1+K15=0,"",1)</f>
      </c>
      <c r="I15" s="270" t="s">
        <v>316</v>
      </c>
      <c r="J15" s="120"/>
      <c r="K15" s="129"/>
      <c r="L15" s="201"/>
    </row>
    <row r="16" spans="1:12" ht="15" customHeight="1">
      <c r="A16" s="211" t="str">
        <f>IF(B16="","","""")</f>
        <v>"</v>
      </c>
      <c r="B16" s="117">
        <f>IF(E16+F16=0,"",1)</f>
        <v>1</v>
      </c>
      <c r="C16" s="623" t="str">
        <f>CONCATENATE("Общо за група ",A11," : ")</f>
        <v>Общо за група I. : </v>
      </c>
      <c r="D16" s="623"/>
      <c r="E16" s="293">
        <f>SUM(E12:E15)</f>
        <v>45</v>
      </c>
      <c r="F16" s="294">
        <f>SUM(F12:F15)</f>
        <v>63</v>
      </c>
      <c r="G16" s="145">
        <f>IF(H16="","",CONCATENATE(COUNT(H$14:H16),"."))</f>
      </c>
      <c r="H16" s="117">
        <f>IF(balRezervU4rAkt_1+K16=0,"",1)</f>
      </c>
      <c r="I16" s="270" t="s">
        <v>164</v>
      </c>
      <c r="J16" s="120"/>
      <c r="K16" s="129"/>
      <c r="L16" s="201"/>
    </row>
    <row r="17" spans="1:12" ht="15" customHeight="1">
      <c r="A17" s="127" t="str">
        <f>IF(B17="","",IF(B11="","I.","II."))</f>
        <v>II.</v>
      </c>
      <c r="B17" s="116">
        <f>IF(E24+F24=0,"",1)</f>
        <v>1</v>
      </c>
      <c r="C17" s="623" t="s">
        <v>165</v>
      </c>
      <c r="D17" s="623"/>
      <c r="E17" s="293"/>
      <c r="F17" s="294"/>
      <c r="G17" s="145" t="str">
        <f>IF(H17="","",CONCATENATE(COUNT(H$14:H17),"."))</f>
        <v>1.</v>
      </c>
      <c r="H17" s="117">
        <f>IF(balDrRezerv_1+K17=0,"",1)</f>
        <v>1</v>
      </c>
      <c r="I17" s="270" t="s">
        <v>45</v>
      </c>
      <c r="J17" s="120">
        <v>2007</v>
      </c>
      <c r="K17" s="129">
        <v>1993</v>
      </c>
      <c r="L17" s="201"/>
    </row>
    <row r="18" spans="1:12" ht="15" customHeight="1">
      <c r="A18" s="206" t="str">
        <f>IF(B18="","",CONCATENATE(COUNT(B$18),"."))</f>
        <v>1.</v>
      </c>
      <c r="B18" s="117">
        <f aca="true" t="shared" si="0" ref="B18:B24">IF(E18+F18=0,"",1)</f>
        <v>1</v>
      </c>
      <c r="C18" s="624" t="s">
        <v>166</v>
      </c>
      <c r="D18" s="624"/>
      <c r="E18" s="288">
        <f>+SUM(E19:E20)</f>
        <v>430</v>
      </c>
      <c r="F18" s="289">
        <f>+SUM(F19:F20)</f>
        <v>465</v>
      </c>
      <c r="G18" s="295" t="str">
        <f>IF(H18="","","""")</f>
        <v>"</v>
      </c>
      <c r="H18" s="117">
        <f>IF(J18+K18=0,"",1)</f>
        <v>1</v>
      </c>
      <c r="I18" s="272" t="str">
        <f>CONCATENATE("Общо за група ",G13," : ")</f>
        <v>Общо за група II. : </v>
      </c>
      <c r="J18" s="291">
        <f>SUM(J14:J17)</f>
        <v>2007</v>
      </c>
      <c r="K18" s="292">
        <f>SUM(K14:K17)</f>
        <v>1993</v>
      </c>
      <c r="L18" s="201"/>
    </row>
    <row r="19" spans="1:12" ht="15" customHeight="1">
      <c r="A19" s="206" t="str">
        <f>IF(B19="","","-")</f>
        <v>-</v>
      </c>
      <c r="B19" s="117">
        <f t="shared" si="0"/>
        <v>1</v>
      </c>
      <c r="C19" s="624" t="s">
        <v>275</v>
      </c>
      <c r="D19" s="624"/>
      <c r="E19" s="54">
        <v>142</v>
      </c>
      <c r="F19" s="131">
        <v>140</v>
      </c>
      <c r="G19" s="296" t="str">
        <f>IF(H19="","",IF(COUNT(H10,H11,H12,H13)=0,"I.",IF(COUNT(H10,H11,H12,H13)=4,"V.",IF(COUNT(H10,H11,H12,H13)=3,"VI.",IF(COUNT(H10,H11,H12,H13)=2,"III.","II.")))))</f>
        <v>III.</v>
      </c>
      <c r="H19" s="117">
        <f>IF(SUM(H20:H21)=0,"",1)</f>
        <v>1</v>
      </c>
      <c r="I19" s="272" t="s">
        <v>167</v>
      </c>
      <c r="J19" s="291"/>
      <c r="K19" s="292"/>
      <c r="L19" s="201"/>
    </row>
    <row r="20" spans="1:12" ht="15" customHeight="1">
      <c r="A20" s="206" t="str">
        <f>IF(B20="","","-")</f>
        <v>-</v>
      </c>
      <c r="B20" s="117">
        <f t="shared" si="0"/>
        <v>1</v>
      </c>
      <c r="C20" s="624" t="s">
        <v>276</v>
      </c>
      <c r="D20" s="624"/>
      <c r="E20" s="54">
        <v>288</v>
      </c>
      <c r="F20" s="131">
        <v>325</v>
      </c>
      <c r="G20" s="145" t="str">
        <f>IF(H20="","","-")</f>
        <v>-</v>
      </c>
      <c r="H20" s="121">
        <f>IF(bal122_1+K20=0,"",1)</f>
        <v>1</v>
      </c>
      <c r="I20" s="270" t="s">
        <v>280</v>
      </c>
      <c r="J20" s="120">
        <v>687</v>
      </c>
      <c r="K20" s="129">
        <v>687</v>
      </c>
      <c r="L20" s="201"/>
    </row>
    <row r="21" spans="1:12" ht="15" customHeight="1">
      <c r="A21" s="206" t="str">
        <f>IF(B21="","",CONCATENATE(COUNT(B$18:B21)-COUNT(B$19:B$20),"."))</f>
        <v>2.</v>
      </c>
      <c r="B21" s="117">
        <f t="shared" si="0"/>
        <v>1</v>
      </c>
      <c r="C21" s="624" t="s">
        <v>168</v>
      </c>
      <c r="D21" s="624"/>
      <c r="E21" s="54">
        <v>974</v>
      </c>
      <c r="F21" s="131">
        <v>1027</v>
      </c>
      <c r="G21" s="145" t="str">
        <f>IF(H21="","","-")</f>
        <v>-</v>
      </c>
      <c r="H21" s="121">
        <f>IF(bal121_1+K21=0,"",1)</f>
        <v>1</v>
      </c>
      <c r="I21" s="270" t="s">
        <v>281</v>
      </c>
      <c r="J21" s="120">
        <v>-1022</v>
      </c>
      <c r="K21" s="129">
        <v>-1022</v>
      </c>
      <c r="L21" s="201"/>
    </row>
    <row r="22" spans="1:12" ht="15" customHeight="1">
      <c r="A22" s="206" t="str">
        <f>IF(B22="","",CONCATENATE(COUNT(B$18:B22)-COUNT(B$19:B$20),"."))</f>
        <v>3.</v>
      </c>
      <c r="B22" s="117">
        <f t="shared" si="0"/>
        <v>1</v>
      </c>
      <c r="C22" s="624" t="s">
        <v>169</v>
      </c>
      <c r="D22" s="624"/>
      <c r="E22" s="54">
        <v>919</v>
      </c>
      <c r="F22" s="131">
        <v>1045</v>
      </c>
      <c r="G22" s="295" t="str">
        <f>IF(H22="","","""")</f>
        <v>"</v>
      </c>
      <c r="H22" s="117">
        <f>IF(J22+K22=0,"",1)</f>
        <v>1</v>
      </c>
      <c r="I22" s="272" t="str">
        <f>CONCATENATE("Общо за група ",G19," : ")</f>
        <v>Общо за група III. : </v>
      </c>
      <c r="J22" s="291">
        <f>SUM(J20:J21)</f>
        <v>-335</v>
      </c>
      <c r="K22" s="292">
        <f>SUM(K20:K21)</f>
        <v>-335</v>
      </c>
      <c r="L22" s="201"/>
    </row>
    <row r="23" spans="1:12" ht="25.5" customHeight="1">
      <c r="A23" s="206" t="str">
        <f>IF(B23="","",CONCATENATE(COUNT(B$18:B23)-COUNT(B$19:B$20),"."))</f>
        <v>4.</v>
      </c>
      <c r="B23" s="117">
        <f t="shared" si="0"/>
        <v>1</v>
      </c>
      <c r="C23" s="624" t="s">
        <v>170</v>
      </c>
      <c r="D23" s="624"/>
      <c r="E23" s="54">
        <f>'DA'!P21</f>
        <v>1446</v>
      </c>
      <c r="F23" s="131">
        <v>1376</v>
      </c>
      <c r="G23" s="296" t="str">
        <f>IF(H23="","",IF(COUNT(H10,H11,H12,H13,H19)=0,"I.",IF(COUNT(H10,H11,H12,H13,H19)=5,"VI.",IF(COUNT(H10,H11,H12,H13,H19)=4,"V.",IF(COUNT(H10,H11,H12,H13,H19)=3,"IV.",IF(COUNT(H10,H11,H12,H13,H19)=2,"III.","II."))))))</f>
        <v>IV.</v>
      </c>
      <c r="H23" s="121">
        <f>IF(bal123_1+K23=0,"",1)</f>
        <v>1</v>
      </c>
      <c r="I23" s="272" t="s">
        <v>171</v>
      </c>
      <c r="J23" s="291">
        <f>ОПР!D42-ОПР!J42</f>
        <v>-1358</v>
      </c>
      <c r="K23" s="297">
        <f>ОПР!E42-ОПР!K42</f>
        <v>14</v>
      </c>
      <c r="L23" s="201"/>
    </row>
    <row r="24" spans="1:12" ht="15" customHeight="1" thickBot="1">
      <c r="A24" s="211" t="str">
        <f>IF(B24="","","""")</f>
        <v>"</v>
      </c>
      <c r="B24" s="117">
        <f t="shared" si="0"/>
        <v>1</v>
      </c>
      <c r="C24" s="623" t="str">
        <f>CONCATENATE("Общо за група ",A17," : ")</f>
        <v>Общо за група II. : </v>
      </c>
      <c r="D24" s="623"/>
      <c r="E24" s="293">
        <f>+SUM(E18,E21:E23)</f>
        <v>3769</v>
      </c>
      <c r="F24" s="294">
        <f>+SUM(F18,F21:F23)</f>
        <v>3913</v>
      </c>
      <c r="G24" s="298" t="str">
        <f>IF(H24="","","""")</f>
        <v>"</v>
      </c>
      <c r="H24" s="125">
        <f>IF(J24+K24=0,"",1)</f>
        <v>1</v>
      </c>
      <c r="I24" s="273" t="str">
        <f>CONCATENATE("ОБЩО ЗА РАЗДЕЛ ",G9," : ")</f>
        <v>ОБЩО ЗА РАЗДЕЛ A. : </v>
      </c>
      <c r="J24" s="299">
        <f>SUM(J10,J11,J12,J18,J22,J23)</f>
        <v>653</v>
      </c>
      <c r="K24" s="300">
        <f>SUM(K10,K11,K12,K18,K22,K23)</f>
        <v>2011</v>
      </c>
      <c r="L24" s="201"/>
    </row>
    <row r="25" spans="1:12" ht="15" customHeight="1">
      <c r="A25" s="127">
        <f>IF(B25="","",IF(COUNT(B11,B17)=0,"I.",IF(COUNT(B11,B17)=2,"III.","II.")))</f>
      </c>
      <c r="B25" s="116">
        <f>IF(E33+F33=0,"",1)</f>
      </c>
      <c r="C25" s="623" t="s">
        <v>172</v>
      </c>
      <c r="D25" s="623"/>
      <c r="E25" s="288"/>
      <c r="F25" s="289"/>
      <c r="G25" s="301" t="str">
        <f>IF(H25="","",IF(H9="","А.","Б."))</f>
        <v>Б.</v>
      </c>
      <c r="H25" s="124">
        <f>IF(J30+K30=0,"",1)</f>
        <v>1</v>
      </c>
      <c r="I25" s="276" t="s">
        <v>173</v>
      </c>
      <c r="J25" s="302"/>
      <c r="K25" s="303"/>
      <c r="L25" s="201"/>
    </row>
    <row r="26" spans="1:12" ht="15" customHeight="1">
      <c r="A26" s="206">
        <f>IF(B26="","",CONCATENATE(COUNT(B$26),"."))</f>
      </c>
      <c r="B26" s="117">
        <f aca="true" t="shared" si="1" ref="B26:B36">IF(E26+F26=0,"",1)</f>
      </c>
      <c r="C26" s="624" t="s">
        <v>174</v>
      </c>
      <c r="D26" s="624"/>
      <c r="E26" s="54"/>
      <c r="F26" s="131"/>
      <c r="G26" s="145" t="str">
        <f>IF(H26="","",CONCATENATE(COUNT(H$26),"."))</f>
        <v>1.</v>
      </c>
      <c r="H26" s="117">
        <f>IF(J26+K26=0,"",1)</f>
        <v>1</v>
      </c>
      <c r="I26" s="270" t="s">
        <v>175</v>
      </c>
      <c r="J26" s="120">
        <v>336</v>
      </c>
      <c r="K26" s="129">
        <v>318</v>
      </c>
      <c r="L26" s="201"/>
    </row>
    <row r="27" spans="1:12" ht="15" customHeight="1">
      <c r="A27" s="206">
        <f>IF(B27="","",CONCATENATE(COUNT(B$26:B27),"."))</f>
      </c>
      <c r="B27" s="117">
        <f t="shared" si="1"/>
      </c>
      <c r="C27" s="624" t="s">
        <v>176</v>
      </c>
      <c r="D27" s="624"/>
      <c r="E27" s="54"/>
      <c r="F27" s="131"/>
      <c r="G27" s="145">
        <f>IF(H27="","",CONCATENATE(COUNT(H$26:H27),"."))</f>
      </c>
      <c r="H27" s="117">
        <f aca="true" t="shared" si="2" ref="H27:H70">IF(J27+K27=0,"",1)</f>
      </c>
      <c r="I27" s="270" t="s">
        <v>177</v>
      </c>
      <c r="J27" s="120"/>
      <c r="K27" s="129"/>
      <c r="L27" s="201"/>
    </row>
    <row r="28" spans="1:12" ht="12.75">
      <c r="A28" s="206">
        <f>IF(B28="","",CONCATENATE(COUNT(B$26:B28),"."))</f>
      </c>
      <c r="B28" s="117">
        <f t="shared" si="1"/>
      </c>
      <c r="C28" s="624" t="s">
        <v>178</v>
      </c>
      <c r="D28" s="624"/>
      <c r="E28" s="54"/>
      <c r="F28" s="131"/>
      <c r="G28" s="145">
        <f>IF(H28="","","-")</f>
      </c>
      <c r="H28" s="117">
        <f t="shared" si="2"/>
      </c>
      <c r="I28" s="270" t="s">
        <v>279</v>
      </c>
      <c r="J28" s="120"/>
      <c r="K28" s="129"/>
      <c r="L28" s="201"/>
    </row>
    <row r="29" spans="1:12" ht="25.5" customHeight="1">
      <c r="A29" s="206">
        <f>IF(B29="","",CONCATENATE(COUNT(B$26:B29),"."))</f>
      </c>
      <c r="B29" s="117">
        <f t="shared" si="1"/>
      </c>
      <c r="C29" s="624" t="s">
        <v>179</v>
      </c>
      <c r="D29" s="624"/>
      <c r="E29" s="54"/>
      <c r="F29" s="131"/>
      <c r="G29" s="145" t="str">
        <f>IF(H29="","",CONCATENATE(COUNT(H$26,H27,H29),"."))</f>
        <v>2.</v>
      </c>
      <c r="H29" s="117">
        <f t="shared" si="2"/>
        <v>1</v>
      </c>
      <c r="I29" s="270" t="s">
        <v>180</v>
      </c>
      <c r="J29" s="120">
        <v>0</v>
      </c>
      <c r="K29" s="129">
        <v>44</v>
      </c>
      <c r="L29" s="201"/>
    </row>
    <row r="30" spans="1:12" ht="15.75" thickBot="1">
      <c r="A30" s="206">
        <f>IF(B30="","",CONCATENATE(COUNT(B$26:B30),"."))</f>
      </c>
      <c r="B30" s="117">
        <f t="shared" si="1"/>
      </c>
      <c r="C30" s="624" t="s">
        <v>181</v>
      </c>
      <c r="D30" s="624"/>
      <c r="E30" s="54"/>
      <c r="F30" s="131"/>
      <c r="G30" s="298" t="str">
        <f>IF(H30="","","""")</f>
        <v>"</v>
      </c>
      <c r="H30" s="125">
        <f t="shared" si="2"/>
        <v>1</v>
      </c>
      <c r="I30" s="273" t="str">
        <f>CONCATENATE("ОБЩО ЗА РАЗДЕЛ ",G25," : ")</f>
        <v>ОБЩО ЗА РАЗДЕЛ Б. : </v>
      </c>
      <c r="J30" s="299">
        <f>SUM(J26:J29)-J28</f>
        <v>336</v>
      </c>
      <c r="K30" s="300">
        <f>SUM(K26:K29)-K28</f>
        <v>362</v>
      </c>
      <c r="L30" s="201"/>
    </row>
    <row r="31" spans="1:12" ht="13.5">
      <c r="A31" s="206">
        <f>IF(B31="","",CONCATENATE(COUNT(B$26:B31),"."))</f>
      </c>
      <c r="B31" s="117">
        <f t="shared" si="1"/>
      </c>
      <c r="C31" s="624" t="s">
        <v>182</v>
      </c>
      <c r="D31" s="624"/>
      <c r="E31" s="54"/>
      <c r="F31" s="131"/>
      <c r="G31" s="301" t="str">
        <f>IF(H31="","",IF(COUNT(H9,H25)=0,"А.",IF(COUNT(H9,H25)=2,"В.","Б.")))</f>
        <v>В.</v>
      </c>
      <c r="H31" s="124">
        <f>IF(J65+K65=0,"",1)</f>
        <v>1</v>
      </c>
      <c r="I31" s="276" t="s">
        <v>183</v>
      </c>
      <c r="J31" s="302"/>
      <c r="K31" s="303"/>
      <c r="L31" s="201"/>
    </row>
    <row r="32" spans="1:12" ht="25.5">
      <c r="A32" s="206">
        <f>IF(B32="","",CONCATENATE(COUNT(B$26:B32),"."))</f>
      </c>
      <c r="B32" s="117">
        <f t="shared" si="1"/>
      </c>
      <c r="C32" s="624" t="s">
        <v>184</v>
      </c>
      <c r="D32" s="624"/>
      <c r="E32" s="54"/>
      <c r="F32" s="131"/>
      <c r="G32" s="145">
        <f>IF(H32="","",CONCATENATE(COUNT(H$32),"."))</f>
      </c>
      <c r="H32" s="117">
        <f t="shared" si="2"/>
      </c>
      <c r="I32" s="270" t="s">
        <v>185</v>
      </c>
      <c r="J32" s="304">
        <f>SUM(J33:J34)</f>
        <v>0</v>
      </c>
      <c r="K32" s="305">
        <f>SUM(K33:K34)</f>
        <v>0</v>
      </c>
      <c r="L32" s="201"/>
    </row>
    <row r="33" spans="1:12" ht="15" customHeight="1">
      <c r="A33" s="211">
        <f>IF(B33="","","""")</f>
      </c>
      <c r="B33" s="117">
        <f t="shared" si="1"/>
      </c>
      <c r="C33" s="623" t="str">
        <f>CONCATENATE("Общо за група ",A25," : ")</f>
        <v>Общо за група  : </v>
      </c>
      <c r="D33" s="623"/>
      <c r="E33" s="293">
        <f>+SUM(E26:E32)</f>
        <v>0</v>
      </c>
      <c r="F33" s="294">
        <f>+SUM(F26:F32)</f>
        <v>0</v>
      </c>
      <c r="G33" s="145">
        <f>IF(H33="","","-")</f>
      </c>
      <c r="H33" s="117">
        <f t="shared" si="2"/>
      </c>
      <c r="I33" s="270" t="s">
        <v>186</v>
      </c>
      <c r="J33" s="120"/>
      <c r="K33" s="129"/>
      <c r="L33" s="201"/>
    </row>
    <row r="34" spans="1:12" ht="15" customHeight="1">
      <c r="A34" s="206"/>
      <c r="B34" s="117">
        <f t="shared" si="1"/>
      </c>
      <c r="C34" s="306"/>
      <c r="D34" s="306"/>
      <c r="E34" s="307"/>
      <c r="F34" s="308"/>
      <c r="G34" s="145">
        <f>IF(H34="","","-")</f>
      </c>
      <c r="H34" s="117">
        <f t="shared" si="2"/>
      </c>
      <c r="I34" s="270" t="s">
        <v>187</v>
      </c>
      <c r="J34" s="120"/>
      <c r="K34" s="129"/>
      <c r="L34" s="201"/>
    </row>
    <row r="35" spans="1:12" ht="15" customHeight="1">
      <c r="A35" s="215" t="str">
        <f>IF(B35="","",IF(COUNT(B11,B17,B25)=0,"I.",IF(COUNT(B11,B17,B25)=3,"IV.",IF(COUNT(B11,B17,B25)=2,"III.","II."))))</f>
        <v>III.</v>
      </c>
      <c r="B35" s="116">
        <f t="shared" si="1"/>
        <v>1</v>
      </c>
      <c r="C35" s="623" t="s">
        <v>188</v>
      </c>
      <c r="D35" s="623"/>
      <c r="E35" s="54">
        <v>73</v>
      </c>
      <c r="F35" s="131">
        <v>73</v>
      </c>
      <c r="G35" s="145" t="str">
        <f>IF(H35="","",CONCATENATE(COUNT(H$32,H$35),"."))</f>
        <v>1.</v>
      </c>
      <c r="H35" s="117">
        <f t="shared" si="2"/>
        <v>1</v>
      </c>
      <c r="I35" s="270" t="s">
        <v>189</v>
      </c>
      <c r="J35" s="304">
        <f>SUM(J36:J37)</f>
        <v>4053</v>
      </c>
      <c r="K35" s="305">
        <f>SUM(K36:K37)</f>
        <v>2724</v>
      </c>
      <c r="L35" s="201"/>
    </row>
    <row r="36" spans="1:12" ht="15" customHeight="1" thickBot="1">
      <c r="A36" s="212" t="str">
        <f>IF(B36="","","""")</f>
        <v>"</v>
      </c>
      <c r="B36" s="125">
        <f t="shared" si="1"/>
        <v>1</v>
      </c>
      <c r="C36" s="626" t="str">
        <f>CONCATENATE("ОБЩО ЗА РАЗДЕЛ ",A10," : ")</f>
        <v>ОБЩО ЗА РАЗДЕЛ А. : </v>
      </c>
      <c r="D36" s="626"/>
      <c r="E36" s="309">
        <f>SUM(E16,E24,E33,E35)</f>
        <v>3887</v>
      </c>
      <c r="F36" s="310">
        <f>SUM(F16,F24,F33,F35)</f>
        <v>4049</v>
      </c>
      <c r="G36" s="145" t="str">
        <f>IF(H36="","","-")</f>
        <v>-</v>
      </c>
      <c r="H36" s="117">
        <f t="shared" si="2"/>
        <v>1</v>
      </c>
      <c r="I36" s="270" t="s">
        <v>186</v>
      </c>
      <c r="J36" s="120">
        <v>1083</v>
      </c>
      <c r="K36" s="129">
        <v>859</v>
      </c>
      <c r="L36" s="201"/>
    </row>
    <row r="37" spans="1:12" ht="15" customHeight="1">
      <c r="A37" s="214" t="str">
        <f>IF(B37="","",IF(COUNT(B9:B10)=0,"А.",IF(COUNT(B9:B10)=2,"В.","Б.")))</f>
        <v>Б.</v>
      </c>
      <c r="B37" s="126">
        <f>IF(E65+F65=0,"",1)</f>
        <v>1</v>
      </c>
      <c r="C37" s="627" t="s">
        <v>190</v>
      </c>
      <c r="D37" s="627"/>
      <c r="E37" s="311"/>
      <c r="F37" s="312"/>
      <c r="G37" s="145" t="str">
        <f>IF(H37="","","-")</f>
        <v>-</v>
      </c>
      <c r="H37" s="117">
        <f t="shared" si="2"/>
        <v>1</v>
      </c>
      <c r="I37" s="270" t="s">
        <v>187</v>
      </c>
      <c r="J37" s="120">
        <v>2970</v>
      </c>
      <c r="K37" s="129">
        <v>1865</v>
      </c>
      <c r="L37" s="201"/>
    </row>
    <row r="38" spans="1:12" ht="15" customHeight="1">
      <c r="A38" s="127" t="str">
        <f>IF(B38="","","I.")</f>
        <v>I.</v>
      </c>
      <c r="B38" s="117">
        <f>IF(E45+F45=0,"",1)</f>
        <v>1</v>
      </c>
      <c r="C38" s="623" t="s">
        <v>116</v>
      </c>
      <c r="D38" s="623"/>
      <c r="E38" s="288"/>
      <c r="F38" s="289"/>
      <c r="G38" s="145">
        <f>IF(H38="","",CONCATENATE(COUNT(H$32,H$35,H$38),"."))</f>
      </c>
      <c r="H38" s="117">
        <f t="shared" si="2"/>
      </c>
      <c r="I38" s="270" t="s">
        <v>191</v>
      </c>
      <c r="J38" s="304">
        <f>SUM(J39:J40)</f>
        <v>0</v>
      </c>
      <c r="K38" s="305">
        <f>SUM(K39:K40)</f>
        <v>0</v>
      </c>
      <c r="L38" s="201"/>
    </row>
    <row r="39" spans="1:12" ht="15" customHeight="1">
      <c r="A39" s="206" t="str">
        <f>IF(B39="","",CONCATENATE(COUNT(B$39),"."))</f>
        <v>1.</v>
      </c>
      <c r="B39" s="117">
        <f aca="true" t="shared" si="3" ref="B39:B45">IF(E39+F39=0,"",1)</f>
        <v>1</v>
      </c>
      <c r="C39" s="624" t="s">
        <v>192</v>
      </c>
      <c r="D39" s="624"/>
      <c r="E39" s="54">
        <v>961</v>
      </c>
      <c r="F39" s="131">
        <v>998</v>
      </c>
      <c r="G39" s="145">
        <f>IF(H39="","","-")</f>
      </c>
      <c r="H39" s="117">
        <f t="shared" si="2"/>
      </c>
      <c r="I39" s="270" t="s">
        <v>186</v>
      </c>
      <c r="J39" s="120"/>
      <c r="K39" s="129"/>
      <c r="L39" s="201"/>
    </row>
    <row r="40" spans="1:12" ht="15" customHeight="1">
      <c r="A40" s="206">
        <f>IF(B40="","",CONCATENATE(COUNT(B$39:B40),"."))</f>
      </c>
      <c r="B40" s="117">
        <f t="shared" si="3"/>
      </c>
      <c r="C40" s="624" t="s">
        <v>193</v>
      </c>
      <c r="D40" s="624"/>
      <c r="E40" s="54"/>
      <c r="F40" s="131"/>
      <c r="G40" s="145">
        <f>IF(H40="","","-")</f>
      </c>
      <c r="H40" s="117">
        <f t="shared" si="2"/>
      </c>
      <c r="I40" s="270" t="s">
        <v>187</v>
      </c>
      <c r="J40" s="120"/>
      <c r="K40" s="129"/>
      <c r="L40" s="201"/>
    </row>
    <row r="41" spans="1:12" ht="15" customHeight="1">
      <c r="A41" s="206">
        <f>IF(B41="","",CONCATENATE(COUNT(B$39:B41),"."))</f>
      </c>
      <c r="B41" s="117">
        <f t="shared" si="3"/>
      </c>
      <c r="C41" s="624" t="s">
        <v>194</v>
      </c>
      <c r="D41" s="624"/>
      <c r="E41" s="288">
        <f>+SUM(E42:E43)</f>
        <v>0</v>
      </c>
      <c r="F41" s="289">
        <f>+SUM(F42:F43)</f>
        <v>0</v>
      </c>
      <c r="G41" s="145" t="str">
        <f>IF(H41="","",CONCATENATE(COUNT(H$32,H$35,H$38,H$41),"."))</f>
        <v>2.</v>
      </c>
      <c r="H41" s="117">
        <f t="shared" si="2"/>
        <v>1</v>
      </c>
      <c r="I41" s="270" t="s">
        <v>195</v>
      </c>
      <c r="J41" s="304">
        <f>SUM(J42:J43)</f>
        <v>1502</v>
      </c>
      <c r="K41" s="305">
        <f>SUM(K42:K43)</f>
        <v>512</v>
      </c>
      <c r="L41" s="201"/>
    </row>
    <row r="42" spans="1:12" ht="15" customHeight="1">
      <c r="A42" s="206">
        <f>IF(B42="","","-")</f>
      </c>
      <c r="B42" s="117">
        <f t="shared" si="3"/>
      </c>
      <c r="C42" s="624" t="s">
        <v>257</v>
      </c>
      <c r="D42" s="624"/>
      <c r="E42" s="54"/>
      <c r="F42" s="131"/>
      <c r="G42" s="145" t="str">
        <f>IF(H42="","","-")</f>
        <v>-</v>
      </c>
      <c r="H42" s="117">
        <f t="shared" si="2"/>
        <v>1</v>
      </c>
      <c r="I42" s="270" t="s">
        <v>186</v>
      </c>
      <c r="J42" s="120">
        <v>1502</v>
      </c>
      <c r="K42" s="129">
        <v>512</v>
      </c>
      <c r="L42" s="201"/>
    </row>
    <row r="43" spans="1:12" ht="15" customHeight="1">
      <c r="A43" s="206">
        <f>IF(B43="","","-")</f>
      </c>
      <c r="B43" s="117">
        <f t="shared" si="3"/>
      </c>
      <c r="C43" s="624" t="s">
        <v>258</v>
      </c>
      <c r="D43" s="624"/>
      <c r="E43" s="54"/>
      <c r="F43" s="131"/>
      <c r="G43" s="145">
        <f>IF(H43="","","-")</f>
      </c>
      <c r="H43" s="117">
        <f t="shared" si="2"/>
      </c>
      <c r="I43" s="270" t="s">
        <v>187</v>
      </c>
      <c r="J43" s="120"/>
      <c r="K43" s="129"/>
      <c r="L43" s="201"/>
    </row>
    <row r="44" spans="1:12" ht="15" customHeight="1">
      <c r="A44" s="206">
        <f>IF(B44="","",CONCATENATE(COUNT(B$39:B44)-COUNT(B42:B43),"."))</f>
      </c>
      <c r="B44" s="117">
        <f t="shared" si="3"/>
      </c>
      <c r="C44" s="624" t="s">
        <v>115</v>
      </c>
      <c r="D44" s="624"/>
      <c r="E44" s="54"/>
      <c r="F44" s="131"/>
      <c r="G44" s="145">
        <f>IF(H44="","",CONCATENATE(COUNT(H$32,H$35,H$38,H$41,H$44),"."))</f>
      </c>
      <c r="H44" s="117">
        <f t="shared" si="2"/>
      </c>
      <c r="I44" s="270" t="s">
        <v>196</v>
      </c>
      <c r="J44" s="304">
        <f>SUM(J45:J46)</f>
        <v>0</v>
      </c>
      <c r="K44" s="305">
        <f>SUM(K45:K46)</f>
        <v>0</v>
      </c>
      <c r="L44" s="201"/>
    </row>
    <row r="45" spans="1:12" ht="15" customHeight="1">
      <c r="A45" s="211" t="str">
        <f>IF(B45="","","""")</f>
        <v>"</v>
      </c>
      <c r="B45" s="117">
        <f t="shared" si="3"/>
        <v>1</v>
      </c>
      <c r="C45" s="623" t="str">
        <f>CONCATENATE("Общо за група ",A38," : ")</f>
        <v>Общо за група I. : </v>
      </c>
      <c r="D45" s="623"/>
      <c r="E45" s="293">
        <f>SUM(E39:E41,E44)</f>
        <v>961</v>
      </c>
      <c r="F45" s="294">
        <f>SUM(F39:F41,F44)</f>
        <v>998</v>
      </c>
      <c r="G45" s="145">
        <f>IF(H45="","","-")</f>
      </c>
      <c r="H45" s="117">
        <f t="shared" si="2"/>
      </c>
      <c r="I45" s="270" t="s">
        <v>186</v>
      </c>
      <c r="J45" s="120"/>
      <c r="K45" s="129"/>
      <c r="L45" s="201"/>
    </row>
    <row r="46" spans="1:12" ht="15" customHeight="1">
      <c r="A46" s="127" t="str">
        <f>IF(B46="","",IF(B38="","I.","II."))</f>
        <v>II.</v>
      </c>
      <c r="B46" s="117">
        <f>IF(E55+F55=0,"",1)</f>
        <v>1</v>
      </c>
      <c r="C46" s="623" t="s">
        <v>197</v>
      </c>
      <c r="D46" s="623"/>
      <c r="E46" s="288"/>
      <c r="F46" s="289"/>
      <c r="G46" s="145">
        <f>IF(H46="","","-")</f>
      </c>
      <c r="H46" s="117">
        <f t="shared" si="2"/>
      </c>
      <c r="I46" s="270" t="s">
        <v>187</v>
      </c>
      <c r="J46" s="120"/>
      <c r="K46" s="129"/>
      <c r="L46" s="201"/>
    </row>
    <row r="47" spans="1:12" ht="15" customHeight="1">
      <c r="A47" s="206" t="str">
        <f>IF(B47="","",CONCATENATE(COUNT(B$47),"."))</f>
        <v>1.</v>
      </c>
      <c r="B47" s="117">
        <f aca="true" t="shared" si="4" ref="B47:B55">IF(E47+F47=0,"",1)</f>
        <v>1</v>
      </c>
      <c r="C47" s="624" t="s">
        <v>198</v>
      </c>
      <c r="D47" s="624"/>
      <c r="E47" s="54">
        <v>1753</v>
      </c>
      <c r="F47" s="131">
        <v>2355</v>
      </c>
      <c r="G47" s="145">
        <f>IF(H47="","",CONCATENATE(COUNT(H$32,H$35,H$38,H$41,H$44,H$47),"."))</f>
      </c>
      <c r="H47" s="117">
        <f t="shared" si="2"/>
      </c>
      <c r="I47" s="270" t="s">
        <v>199</v>
      </c>
      <c r="J47" s="304">
        <f>SUM(J48:J49)</f>
        <v>0</v>
      </c>
      <c r="K47" s="305">
        <f>SUM(K48:K49)</f>
        <v>0</v>
      </c>
      <c r="L47" s="201"/>
    </row>
    <row r="48" spans="1:12" ht="15" customHeight="1">
      <c r="A48" s="313">
        <f>IF(B48="","","""")</f>
      </c>
      <c r="B48" s="117">
        <f t="shared" si="4"/>
      </c>
      <c r="C48" s="628" t="s">
        <v>187</v>
      </c>
      <c r="D48" s="628"/>
      <c r="E48" s="55"/>
      <c r="F48" s="132"/>
      <c r="G48" s="145">
        <f>IF(H48="","","-")</f>
      </c>
      <c r="H48" s="117">
        <f t="shared" si="2"/>
      </c>
      <c r="I48" s="274" t="s">
        <v>186</v>
      </c>
      <c r="J48" s="122"/>
      <c r="K48" s="130"/>
      <c r="L48" s="201"/>
    </row>
    <row r="49" spans="1:12" ht="15" customHeight="1">
      <c r="A49" s="206">
        <f>IF(B49="","",CONCATENATE(COUNT(B$47,B49),"."))</f>
      </c>
      <c r="B49" s="117">
        <f t="shared" si="4"/>
      </c>
      <c r="C49" s="628" t="s">
        <v>200</v>
      </c>
      <c r="D49" s="628"/>
      <c r="E49" s="55"/>
      <c r="F49" s="132"/>
      <c r="G49" s="145">
        <f>IF(H49="","","-")</f>
      </c>
      <c r="H49" s="117">
        <f t="shared" si="2"/>
      </c>
      <c r="I49" s="274" t="s">
        <v>187</v>
      </c>
      <c r="J49" s="122"/>
      <c r="K49" s="130"/>
      <c r="L49" s="201"/>
    </row>
    <row r="50" spans="1:12" ht="25.5" customHeight="1">
      <c r="A50" s="313">
        <f>IF(B50="","","-")</f>
      </c>
      <c r="B50" s="117">
        <f t="shared" si="4"/>
      </c>
      <c r="C50" s="628" t="s">
        <v>187</v>
      </c>
      <c r="D50" s="628"/>
      <c r="E50" s="55"/>
      <c r="F50" s="132"/>
      <c r="G50" s="145">
        <f>IF(H50="","",CONCATENATE(COUNT(H$32,H$35,H$38,H$41,H$44,H$47,H$50),"."))</f>
      </c>
      <c r="H50" s="117">
        <f t="shared" si="2"/>
      </c>
      <c r="I50" s="274" t="s">
        <v>201</v>
      </c>
      <c r="J50" s="304">
        <f>SUM(J51:J52)</f>
        <v>0</v>
      </c>
      <c r="K50" s="305">
        <f>SUM(K51:K52)</f>
        <v>0</v>
      </c>
      <c r="L50" s="201"/>
    </row>
    <row r="51" spans="1:12" ht="25.5" customHeight="1">
      <c r="A51" s="206">
        <f>IF(B51="","",CONCATENATE(COUNT(B$47,B$49,B$51),"."))</f>
      </c>
      <c r="B51" s="117">
        <f t="shared" si="4"/>
      </c>
      <c r="C51" s="628" t="s">
        <v>202</v>
      </c>
      <c r="D51" s="628"/>
      <c r="E51" s="55"/>
      <c r="F51" s="132"/>
      <c r="G51" s="145">
        <f>IF(H51="","","-")</f>
      </c>
      <c r="H51" s="117">
        <f t="shared" si="2"/>
      </c>
      <c r="I51" s="274" t="s">
        <v>186</v>
      </c>
      <c r="J51" s="122"/>
      <c r="K51" s="130"/>
      <c r="L51" s="201"/>
    </row>
    <row r="52" spans="1:14" ht="15" customHeight="1">
      <c r="A52" s="313">
        <f>IF(B52="","","""")</f>
      </c>
      <c r="B52" s="117">
        <f t="shared" si="4"/>
      </c>
      <c r="C52" s="628" t="s">
        <v>187</v>
      </c>
      <c r="D52" s="628"/>
      <c r="E52" s="55"/>
      <c r="F52" s="132"/>
      <c r="G52" s="145">
        <f>IF(H52="","","-")</f>
      </c>
      <c r="H52" s="117">
        <f t="shared" si="2"/>
      </c>
      <c r="I52" s="274" t="s">
        <v>187</v>
      </c>
      <c r="J52" s="122"/>
      <c r="K52" s="130"/>
      <c r="L52" s="201"/>
      <c r="M52" s="635" t="s">
        <v>212</v>
      </c>
      <c r="N52" s="636"/>
    </row>
    <row r="53" spans="1:14" ht="15" customHeight="1">
      <c r="A53" s="206" t="str">
        <f>IF(B53="","",CONCATENATE(COUNT(B$47,B$49,B$51,B$53),"."))</f>
        <v>2.</v>
      </c>
      <c r="B53" s="117">
        <f t="shared" si="4"/>
        <v>1</v>
      </c>
      <c r="C53" s="628" t="s">
        <v>203</v>
      </c>
      <c r="D53" s="628"/>
      <c r="E53" s="55">
        <v>1807</v>
      </c>
      <c r="F53" s="132">
        <v>1288</v>
      </c>
      <c r="G53" s="145" t="str">
        <f>IF(H53="","",CONCATENATE(COUNT(H$32,H$35,H$38,H$41,H$44,H$47,H$50,H$53),"."))</f>
        <v>3.</v>
      </c>
      <c r="H53" s="117">
        <f t="shared" si="2"/>
        <v>1</v>
      </c>
      <c r="I53" s="274" t="s">
        <v>204</v>
      </c>
      <c r="J53" s="304">
        <f>SUM(J54:J55)</f>
        <v>1596</v>
      </c>
      <c r="K53" s="305">
        <f>SUM(K54:K55)</f>
        <v>2577</v>
      </c>
      <c r="L53" s="201"/>
      <c r="M53" s="8">
        <v>668</v>
      </c>
      <c r="N53" s="8">
        <v>1747</v>
      </c>
    </row>
    <row r="54" spans="1:14" ht="15" customHeight="1">
      <c r="A54" s="313">
        <f>IF(B54="","","-")</f>
      </c>
      <c r="B54" s="117">
        <f t="shared" si="4"/>
      </c>
      <c r="C54" s="628" t="s">
        <v>187</v>
      </c>
      <c r="D54" s="628"/>
      <c r="E54" s="55"/>
      <c r="F54" s="132"/>
      <c r="G54" s="295" t="str">
        <f>IF(H54="","","-")</f>
        <v>-</v>
      </c>
      <c r="H54" s="117">
        <f t="shared" si="2"/>
        <v>1</v>
      </c>
      <c r="I54" s="274" t="s">
        <v>186</v>
      </c>
      <c r="J54" s="314">
        <f>J57+J60+J63+M53</f>
        <v>1596</v>
      </c>
      <c r="K54" s="315">
        <f>K57+K60+K63+N53</f>
        <v>2577</v>
      </c>
      <c r="L54" s="201"/>
      <c r="M54" s="8"/>
      <c r="N54" s="8"/>
    </row>
    <row r="55" spans="1:12" ht="15" customHeight="1">
      <c r="A55" s="211" t="str">
        <f>IF(B55="","","""")</f>
        <v>"</v>
      </c>
      <c r="B55" s="117">
        <f t="shared" si="4"/>
        <v>1</v>
      </c>
      <c r="C55" s="623" t="str">
        <f>CONCATENATE("Общо за група ",A46," : ")</f>
        <v>Общо за група II. : </v>
      </c>
      <c r="D55" s="623"/>
      <c r="E55" s="316">
        <f>+SUM(E47,E49,E51,E53)</f>
        <v>3560</v>
      </c>
      <c r="F55" s="317">
        <f>+SUM(F47,F49,F51,F53)</f>
        <v>3643</v>
      </c>
      <c r="G55" s="145">
        <f>IF(H55="","","-")</f>
      </c>
      <c r="H55" s="117">
        <f t="shared" si="2"/>
      </c>
      <c r="I55" s="274" t="s">
        <v>187</v>
      </c>
      <c r="J55" s="314">
        <f>J58+J61+J64+M54</f>
        <v>0</v>
      </c>
      <c r="K55" s="315">
        <f>K58+K61+K64+N54</f>
        <v>0</v>
      </c>
      <c r="L55" s="201"/>
    </row>
    <row r="56" spans="1:12" ht="15" customHeight="1">
      <c r="A56" s="127">
        <f>IF(B56="","",IF(COUNT(B38,B46)=0,"I.",IF(COUNT(B38,B46)=2,"III.","II.")))</f>
      </c>
      <c r="B56" s="117">
        <f>IF(E60+F60=0,"",1)</f>
      </c>
      <c r="C56" s="629" t="s">
        <v>205</v>
      </c>
      <c r="D56" s="629"/>
      <c r="E56" s="318"/>
      <c r="F56" s="319"/>
      <c r="G56" s="295" t="str">
        <f>IF(H56="","","-")</f>
        <v>-</v>
      </c>
      <c r="H56" s="117">
        <f t="shared" si="2"/>
        <v>1</v>
      </c>
      <c r="I56" s="274" t="s">
        <v>282</v>
      </c>
      <c r="J56" s="304">
        <f>SUM(J57:J58)</f>
        <v>588</v>
      </c>
      <c r="K56" s="305">
        <f>SUM(K57:K58)</f>
        <v>511</v>
      </c>
      <c r="L56" s="201"/>
    </row>
    <row r="57" spans="1:12" ht="15" customHeight="1">
      <c r="A57" s="206">
        <f>IF(B57="","",CONCATENATE(COUNT(B$57),"."))</f>
      </c>
      <c r="B57" s="117">
        <f>IF(E57+F57=0,"",1)</f>
      </c>
      <c r="C57" s="628" t="s">
        <v>206</v>
      </c>
      <c r="D57" s="628"/>
      <c r="E57" s="55"/>
      <c r="F57" s="132"/>
      <c r="G57" s="145" t="str">
        <f aca="true" t="shared" si="5" ref="G57:G67">IF(H57="","","-")</f>
        <v>-</v>
      </c>
      <c r="H57" s="117">
        <f t="shared" si="2"/>
        <v>1</v>
      </c>
      <c r="I57" s="274" t="s">
        <v>186</v>
      </c>
      <c r="J57" s="122">
        <v>588</v>
      </c>
      <c r="K57" s="130">
        <v>511</v>
      </c>
      <c r="L57" s="201"/>
    </row>
    <row r="58" spans="1:12" ht="15" customHeight="1">
      <c r="A58" s="206">
        <f>IF(B58="","",CONCATENATE(COUNT(B$57:B58),"."))</f>
      </c>
      <c r="B58" s="117">
        <f>IF(E58+F58=0,"",1)</f>
      </c>
      <c r="C58" s="628" t="s">
        <v>184</v>
      </c>
      <c r="D58" s="628"/>
      <c r="E58" s="55"/>
      <c r="F58" s="132"/>
      <c r="G58" s="145">
        <f t="shared" si="5"/>
      </c>
      <c r="H58" s="117">
        <f t="shared" si="2"/>
      </c>
      <c r="I58" s="274" t="s">
        <v>187</v>
      </c>
      <c r="J58" s="122"/>
      <c r="K58" s="130"/>
      <c r="L58" s="201"/>
    </row>
    <row r="59" spans="1:12" ht="15" customHeight="1">
      <c r="A59" s="206">
        <f>IF(B59="","",CONCATENATE(COUNT(B$57:B59),"."))</f>
      </c>
      <c r="B59" s="117">
        <f>IF(E59+F59=0,"",1)</f>
      </c>
      <c r="C59" s="624" t="s">
        <v>207</v>
      </c>
      <c r="D59" s="624"/>
      <c r="E59" s="55"/>
      <c r="F59" s="132"/>
      <c r="G59" s="295" t="str">
        <f t="shared" si="5"/>
        <v>-</v>
      </c>
      <c r="H59" s="117">
        <f t="shared" si="2"/>
        <v>1</v>
      </c>
      <c r="I59" s="274" t="s">
        <v>283</v>
      </c>
      <c r="J59" s="304">
        <f>SUM(J60:J61)</f>
        <v>195</v>
      </c>
      <c r="K59" s="305">
        <f>SUM(K60:K61)</f>
        <v>169</v>
      </c>
      <c r="L59" s="201"/>
    </row>
    <row r="60" spans="1:12" ht="15" customHeight="1">
      <c r="A60" s="211">
        <f>IF(B60="","","""")</f>
      </c>
      <c r="B60" s="117">
        <f>IF(E60+F60=0,"",1)</f>
      </c>
      <c r="C60" s="623" t="str">
        <f>CONCATENATE("Общо за група ",A56," : ")</f>
        <v>Общо за група  : </v>
      </c>
      <c r="D60" s="623"/>
      <c r="E60" s="316">
        <f>SUM(E57:E59)</f>
        <v>0</v>
      </c>
      <c r="F60" s="317">
        <f>SUM(F57:F59)</f>
        <v>0</v>
      </c>
      <c r="G60" s="145" t="str">
        <f t="shared" si="5"/>
        <v>-</v>
      </c>
      <c r="H60" s="117">
        <f t="shared" si="2"/>
        <v>1</v>
      </c>
      <c r="I60" s="274" t="s">
        <v>186</v>
      </c>
      <c r="J60" s="122">
        <v>195</v>
      </c>
      <c r="K60" s="130">
        <v>169</v>
      </c>
      <c r="L60" s="201"/>
    </row>
    <row r="61" spans="1:12" ht="15" customHeight="1">
      <c r="A61" s="215" t="str">
        <f>IF(B61="","",IF(COUNT(B38,B46,B56)=0,"I.",IF(COUNT(B38,B46,B56)=3,"IV.",IF(COUNT(B38,B46,B56)=2,"III.","II."))))</f>
        <v>III.</v>
      </c>
      <c r="B61" s="117">
        <f>IF(bal50_1+bal50_0=0,"",1)</f>
        <v>1</v>
      </c>
      <c r="C61" s="623" t="s">
        <v>208</v>
      </c>
      <c r="D61" s="623"/>
      <c r="E61" s="318"/>
      <c r="F61" s="319"/>
      <c r="G61" s="145">
        <f t="shared" si="5"/>
      </c>
      <c r="H61" s="117">
        <f t="shared" si="2"/>
      </c>
      <c r="I61" s="274" t="s">
        <v>187</v>
      </c>
      <c r="J61" s="122"/>
      <c r="K61" s="130"/>
      <c r="L61" s="201"/>
    </row>
    <row r="62" spans="1:12" ht="15" customHeight="1">
      <c r="A62" s="206" t="str">
        <f>IF(B62="","","-")</f>
        <v>-</v>
      </c>
      <c r="B62" s="117">
        <f>IF(E62+F62=0,"",1)</f>
        <v>1</v>
      </c>
      <c r="C62" s="624" t="s">
        <v>277</v>
      </c>
      <c r="D62" s="624"/>
      <c r="E62" s="55">
        <v>15</v>
      </c>
      <c r="F62" s="132">
        <v>18</v>
      </c>
      <c r="G62" s="145" t="str">
        <f t="shared" si="5"/>
        <v>-</v>
      </c>
      <c r="H62" s="117">
        <f t="shared" si="2"/>
        <v>1</v>
      </c>
      <c r="I62" s="274" t="s">
        <v>284</v>
      </c>
      <c r="J62" s="304">
        <f>SUM(J63:J64)</f>
        <v>145</v>
      </c>
      <c r="K62" s="305">
        <f>SUM(K63:K64)</f>
        <v>150</v>
      </c>
      <c r="L62" s="201"/>
    </row>
    <row r="63" spans="1:12" ht="15" customHeight="1">
      <c r="A63" s="206" t="str">
        <f>IF(B63="","","-")</f>
        <v>-</v>
      </c>
      <c r="B63" s="117">
        <f>IF(E63+F63=0,"",1)</f>
        <v>1</v>
      </c>
      <c r="C63" s="624" t="s">
        <v>278</v>
      </c>
      <c r="D63" s="624"/>
      <c r="E63" s="55">
        <v>498</v>
      </c>
      <c r="F63" s="132">
        <v>253</v>
      </c>
      <c r="G63" s="145" t="str">
        <f t="shared" si="5"/>
        <v>-</v>
      </c>
      <c r="H63" s="117">
        <f t="shared" si="2"/>
        <v>1</v>
      </c>
      <c r="I63" s="274" t="s">
        <v>186</v>
      </c>
      <c r="J63" s="122">
        <v>145</v>
      </c>
      <c r="K63" s="130">
        <v>150</v>
      </c>
      <c r="L63" s="201"/>
    </row>
    <row r="64" spans="1:12" ht="15" customHeight="1">
      <c r="A64" s="211" t="str">
        <f>IF(B64="","","""")</f>
        <v>"</v>
      </c>
      <c r="B64" s="117">
        <f>IF(E64+F64=0,"",1)</f>
        <v>1</v>
      </c>
      <c r="C64" s="623" t="str">
        <f>CONCATENATE("Общо за група ",A61," : ")</f>
        <v>Общо за група III. : </v>
      </c>
      <c r="D64" s="623"/>
      <c r="E64" s="316">
        <f>SUM(E62:E63)</f>
        <v>513</v>
      </c>
      <c r="F64" s="317">
        <f>SUM(F62:F63)</f>
        <v>271</v>
      </c>
      <c r="G64" s="145">
        <f t="shared" si="5"/>
      </c>
      <c r="H64" s="117">
        <f t="shared" si="2"/>
      </c>
      <c r="I64" s="274" t="s">
        <v>187</v>
      </c>
      <c r="J64" s="122"/>
      <c r="K64" s="130"/>
      <c r="L64" s="201"/>
    </row>
    <row r="65" spans="1:12" ht="15" customHeight="1" thickBot="1">
      <c r="A65" s="212" t="str">
        <f>IF(B65="","","""")</f>
        <v>"</v>
      </c>
      <c r="B65" s="125">
        <f>IF(E65+F65=0,"",1)</f>
        <v>1</v>
      </c>
      <c r="C65" s="626" t="str">
        <f>CONCATENATE("ОБЩО ЗА РАЗДЕЛ ",A37," : ")</f>
        <v>ОБЩО ЗА РАЗДЕЛ Б. : </v>
      </c>
      <c r="D65" s="626"/>
      <c r="E65" s="320">
        <f>SUM(E45,E55,E60,E64)</f>
        <v>5034</v>
      </c>
      <c r="F65" s="321">
        <f>SUM(F45,F55,F60,F64)</f>
        <v>4912</v>
      </c>
      <c r="G65" s="213" t="str">
        <f>IF(H65="","","""")</f>
        <v>"</v>
      </c>
      <c r="H65" s="125">
        <f t="shared" si="2"/>
        <v>1</v>
      </c>
      <c r="I65" s="273" t="str">
        <f>CONCATENATE("ОБЩО ЗА РАЗДЕЛ ",G31,", в т.ч. : ")</f>
        <v>ОБЩО ЗА РАЗДЕЛ В., в т.ч. : </v>
      </c>
      <c r="J65" s="322">
        <f aca="true" t="shared" si="6" ref="J65:K67">+SUM(J32,J35,J38,J41,J44,J47,J50,J53)</f>
        <v>7151</v>
      </c>
      <c r="K65" s="323">
        <f t="shared" si="6"/>
        <v>5813</v>
      </c>
      <c r="L65" s="201"/>
    </row>
    <row r="66" spans="1:12" ht="15" customHeight="1">
      <c r="A66" s="324"/>
      <c r="B66" s="325"/>
      <c r="C66" s="325"/>
      <c r="D66" s="325"/>
      <c r="E66" s="326"/>
      <c r="F66" s="327"/>
      <c r="G66" s="145" t="str">
        <f t="shared" si="5"/>
        <v>-</v>
      </c>
      <c r="H66" s="216">
        <f t="shared" si="2"/>
        <v>1</v>
      </c>
      <c r="I66" s="217" t="s">
        <v>186</v>
      </c>
      <c r="J66" s="328">
        <f>+SUM(J33,J36,J39,J42,J45,J48,J51,J54)</f>
        <v>4181</v>
      </c>
      <c r="K66" s="329">
        <f>+SUM(K33,K36,K39,K42,K45,K48,K51,K54)</f>
        <v>3948</v>
      </c>
      <c r="L66" s="201"/>
    </row>
    <row r="67" spans="1:12" ht="15" customHeight="1">
      <c r="A67" s="206"/>
      <c r="B67" s="306"/>
      <c r="C67" s="306"/>
      <c r="D67" s="306"/>
      <c r="E67" s="307"/>
      <c r="F67" s="308"/>
      <c r="G67" s="145" t="str">
        <f t="shared" si="5"/>
        <v>-</v>
      </c>
      <c r="H67" s="117">
        <f t="shared" si="2"/>
        <v>1</v>
      </c>
      <c r="I67" s="274" t="s">
        <v>187</v>
      </c>
      <c r="J67" s="304">
        <f t="shared" si="6"/>
        <v>2970</v>
      </c>
      <c r="K67" s="305">
        <f t="shared" si="6"/>
        <v>1865</v>
      </c>
      <c r="L67" s="201"/>
    </row>
    <row r="68" spans="1:12" ht="27.75" customHeight="1">
      <c r="A68" s="215" t="str">
        <f>IF(B68="","",IF(COUNT(B9:B10,B37)=0,"А.",IF(COUNT(B9:B10,B37)=3,"Г.",IF(COUNT(B9:B10,B37)=2,"В.","Б."))))</f>
        <v>В.</v>
      </c>
      <c r="B68" s="115">
        <f>IF(E68+F68=0,"",1)</f>
        <v>1</v>
      </c>
      <c r="C68" s="637" t="s">
        <v>209</v>
      </c>
      <c r="D68" s="637"/>
      <c r="E68" s="56">
        <v>36</v>
      </c>
      <c r="F68" s="133">
        <v>38</v>
      </c>
      <c r="G68" s="290" t="str">
        <f>IF(H68="","",IF(COUNT(H9,H25,H31)=0,"А.",IF(COUNT(H9,H25,H31)=3,"Г.",IF(COUNT(H9,H25,H31)=2,"В.","Б."))))</f>
        <v>Г.</v>
      </c>
      <c r="H68" s="118">
        <f>IF(J68+K68=0,"",1)</f>
        <v>1</v>
      </c>
      <c r="I68" s="330" t="s">
        <v>210</v>
      </c>
      <c r="J68" s="331">
        <f>SUM(J69:J70)</f>
        <v>817</v>
      </c>
      <c r="K68" s="332">
        <f>SUM(K69:K70)</f>
        <v>813</v>
      </c>
      <c r="L68" s="201"/>
    </row>
    <row r="69" spans="1:12" ht="15" customHeight="1">
      <c r="A69" s="206"/>
      <c r="B69" s="306"/>
      <c r="C69" s="638"/>
      <c r="D69" s="638"/>
      <c r="E69" s="318"/>
      <c r="F69" s="319"/>
      <c r="G69" s="145" t="str">
        <f>IF(H69="","","-")</f>
        <v>-</v>
      </c>
      <c r="H69" s="117">
        <f t="shared" si="2"/>
        <v>1</v>
      </c>
      <c r="I69" s="274" t="s">
        <v>285</v>
      </c>
      <c r="J69" s="122">
        <v>813</v>
      </c>
      <c r="K69" s="130">
        <v>813</v>
      </c>
      <c r="L69" s="201"/>
    </row>
    <row r="70" spans="1:12" ht="20.25" customHeight="1" thickBot="1">
      <c r="A70" s="333"/>
      <c r="B70" s="334"/>
      <c r="C70" s="639"/>
      <c r="D70" s="639"/>
      <c r="E70" s="335"/>
      <c r="F70" s="336"/>
      <c r="G70" s="337" t="str">
        <f>IF(H70="","","-")</f>
        <v>-</v>
      </c>
      <c r="H70" s="134">
        <f t="shared" si="2"/>
        <v>1</v>
      </c>
      <c r="I70" s="338" t="s">
        <v>286</v>
      </c>
      <c r="J70" s="135">
        <v>4</v>
      </c>
      <c r="K70" s="136"/>
      <c r="L70" s="201"/>
    </row>
    <row r="71" spans="1:12" ht="15" customHeight="1" thickBot="1">
      <c r="A71" s="220"/>
      <c r="B71" s="221"/>
      <c r="C71" s="630" t="s">
        <v>55</v>
      </c>
      <c r="D71" s="630"/>
      <c r="E71" s="339">
        <f>SUM(E9,E36,E65,E68)</f>
        <v>8957</v>
      </c>
      <c r="F71" s="340">
        <f>SUM(F9,F36,F65,F68)</f>
        <v>8999</v>
      </c>
      <c r="G71" s="341"/>
      <c r="H71" s="137"/>
      <c r="I71" s="342" t="s">
        <v>56</v>
      </c>
      <c r="J71" s="343">
        <f>SUM(J24,J30,J66,J67,J69,J70)</f>
        <v>8957</v>
      </c>
      <c r="K71" s="344">
        <f>SUM(K24,K30,K66,K67,K69,K70)</f>
        <v>8999</v>
      </c>
      <c r="L71" s="201"/>
    </row>
    <row r="72" spans="1:12" ht="15" customHeight="1">
      <c r="A72" s="199">
        <f>""</f>
      </c>
      <c r="K72" s="222"/>
      <c r="L72" s="201"/>
    </row>
    <row r="73" spans="3:12" ht="33.75" customHeight="1">
      <c r="C73" s="7" t="str">
        <f>CONCATENATE("Дата на съставяне: ",TEXT(data_na_sustaviane,"dd.mm.yyyy"))</f>
        <v>Дата на съставяне: 16.03.2020 г.</v>
      </c>
      <c r="D73" s="12"/>
      <c r="E73" s="20"/>
      <c r="F73" s="19"/>
      <c r="G73" s="21"/>
      <c r="H73" s="19"/>
      <c r="I73" s="19"/>
      <c r="J73" s="222"/>
      <c r="K73" s="222"/>
      <c r="L73" s="201"/>
    </row>
    <row r="74" spans="3:11" ht="20.25" customHeight="1">
      <c r="C74" s="7" t="str">
        <f>CONCATENATE(grad)</f>
        <v>гр. Хасково</v>
      </c>
      <c r="D74" s="12"/>
      <c r="E74" s="12"/>
      <c r="F74" s="12"/>
      <c r="G74" s="105"/>
      <c r="H74" s="12"/>
      <c r="I74" s="12"/>
      <c r="J74" s="223"/>
      <c r="K74" s="224"/>
    </row>
    <row r="75" spans="1:11" ht="12.75">
      <c r="A75" s="199">
        <f>""</f>
      </c>
      <c r="C75" s="12"/>
      <c r="D75" s="12"/>
      <c r="E75" s="13"/>
      <c r="F75" s="12"/>
      <c r="G75" s="105"/>
      <c r="H75" s="12"/>
      <c r="I75" s="13"/>
      <c r="K75" s="224"/>
    </row>
    <row r="76" spans="3:9" ht="17.25" customHeight="1">
      <c r="C76" s="269" t="str">
        <f>'Данни на фирмата'!A6</f>
        <v>Управител:</v>
      </c>
      <c r="D76" s="15"/>
      <c r="E76" s="15"/>
      <c r="F76" s="15"/>
      <c r="G76" s="111"/>
      <c r="H76" s="15"/>
      <c r="I76" s="15"/>
    </row>
    <row r="77" spans="3:9" ht="15" customHeight="1">
      <c r="C77" s="7" t="str">
        <f>predstavliavasht</f>
        <v>инж.Тодор  Райчев Марков</v>
      </c>
      <c r="D77" s="15"/>
      <c r="E77" s="15"/>
      <c r="F77" s="15"/>
      <c r="G77" s="111"/>
      <c r="H77" s="15"/>
      <c r="I77" s="15"/>
    </row>
    <row r="78" spans="1:9" ht="13.5">
      <c r="A78" s="199">
        <f>""</f>
      </c>
      <c r="C78" s="114"/>
      <c r="D78" s="269"/>
      <c r="E78" s="15"/>
      <c r="F78" s="269"/>
      <c r="G78" s="111"/>
      <c r="H78" s="269"/>
      <c r="I78" s="15"/>
    </row>
    <row r="79" spans="3:9" ht="33" customHeight="1">
      <c r="C79" s="633" t="str">
        <f>'Данни на фирмата'!A7</f>
        <v>Главен счетоводител/Съставител :</v>
      </c>
      <c r="D79" s="633"/>
      <c r="E79" s="15"/>
      <c r="F79" s="15"/>
      <c r="G79" s="111"/>
      <c r="H79" s="15"/>
      <c r="I79" s="15"/>
    </row>
    <row r="80" spans="3:9" ht="12.75">
      <c r="C80" s="7" t="str">
        <f>sustavitel</f>
        <v> Снежана  Петрова  Маркова</v>
      </c>
      <c r="D80" s="15"/>
      <c r="E80" s="15"/>
      <c r="F80" s="15"/>
      <c r="G80" s="111"/>
      <c r="H80" s="15"/>
      <c r="I80" s="15"/>
    </row>
    <row r="81" spans="3:10" ht="12.75" customHeight="1">
      <c r="C81" s="631">
        <f>IF(E71=J71,"","Разлика между актива и пасива")</f>
      </c>
      <c r="D81" s="632"/>
      <c r="E81" s="51">
        <f>IF(E71=J71,"",E71-J71)</f>
      </c>
      <c r="F81" s="51">
        <f>IF(F71=K71,"",F71-K71)</f>
      </c>
      <c r="G81" s="51"/>
      <c r="H81" s="51"/>
      <c r="I81" s="631">
        <f>IF(F71=K71,"","Разлика между актива и пасива за предходна година")</f>
      </c>
      <c r="J81" s="632"/>
    </row>
    <row r="82" ht="12.75" customHeight="1">
      <c r="C82" s="41" t="s">
        <v>213</v>
      </c>
    </row>
    <row r="83" ht="12.75" customHeight="1">
      <c r="C83" s="41" t="s">
        <v>142</v>
      </c>
    </row>
    <row r="84" ht="12.75" customHeight="1">
      <c r="C84" s="41" t="s">
        <v>143</v>
      </c>
    </row>
  </sheetData>
  <sheetProtection sheet="1"/>
  <mergeCells count="75">
    <mergeCell ref="C79:D79"/>
    <mergeCell ref="C1:K1"/>
    <mergeCell ref="C2:K2"/>
    <mergeCell ref="C3:K3"/>
    <mergeCell ref="I81:J81"/>
    <mergeCell ref="M52:N52"/>
    <mergeCell ref="C65:D65"/>
    <mergeCell ref="C68:D68"/>
    <mergeCell ref="C69:D69"/>
    <mergeCell ref="C70:D70"/>
    <mergeCell ref="C57:D57"/>
    <mergeCell ref="C58:D58"/>
    <mergeCell ref="C71:D71"/>
    <mergeCell ref="C81:D81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2:D32"/>
    <mergeCell ref="C33:D33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9:D9"/>
    <mergeCell ref="C10:D10"/>
    <mergeCell ref="C11:D11"/>
    <mergeCell ref="C12:D12"/>
    <mergeCell ref="C13:D13"/>
    <mergeCell ref="A8:D8"/>
    <mergeCell ref="G8:I8"/>
    <mergeCell ref="E6:F6"/>
    <mergeCell ref="J6:K6"/>
    <mergeCell ref="G5:K5"/>
    <mergeCell ref="G6:I7"/>
    <mergeCell ref="A5:F5"/>
    <mergeCell ref="A6:D7"/>
  </mergeCells>
  <conditionalFormatting sqref="J71 E71">
    <cfRule type="expression" priority="1" dxfId="0" stopIfTrue="1">
      <formula>$E$71&lt;&gt;$J$71</formula>
    </cfRule>
  </conditionalFormatting>
  <conditionalFormatting sqref="K71">
    <cfRule type="expression" priority="10" dxfId="0" stopIfTrue="1">
      <formula>K$71&lt;&gt;F$71</formula>
    </cfRule>
  </conditionalFormatting>
  <conditionalFormatting sqref="F71:H71">
    <cfRule type="expression" priority="11" dxfId="0" stopIfTrue="1">
      <formula>F$71&lt;&gt;K$71</formula>
    </cfRule>
  </conditionalFormatting>
  <dataValidations count="33">
    <dataValidation allowBlank="1" showErrorMessage="1" promptTitle="4.1." sqref="I69:I70"/>
    <dataValidation allowBlank="1" showErrorMessage="1" promptTitle="3.1." sqref="I66:I67 I32:I64 C39:C44"/>
    <dataValidation allowBlank="1" showErrorMessage="1" promptTitle="2.1." sqref="I26:I29 C12:C15"/>
    <dataValidation allowBlank="1" showErrorMessage="1" promptTitle="1.5." sqref="I20:I21"/>
    <dataValidation allowBlank="1" showErrorMessage="1" promptTitle="1.4." sqref="I14:I17"/>
    <dataValidation allowBlank="1" showErrorMessage="1" promptTitle="1.6" sqref="I23"/>
    <dataValidation allowBlank="1" showErrorMessage="1" promptTitle="1.5" sqref="I19"/>
    <dataValidation allowBlank="1" showErrorMessage="1" promptTitle="1.4" sqref="I18 I13 I22"/>
    <dataValidation allowBlank="1" showErrorMessage="1" promptTitle="1.2" sqref="I11"/>
    <dataValidation allowBlank="1" showErrorMessage="1" promptTitle="1.1" sqref="I10"/>
    <dataValidation allowBlank="1" showErrorMessage="1" promptTitle="4" sqref="I68 C68"/>
    <dataValidation allowBlank="1" showErrorMessage="1" promptTitle="3" sqref="C37 I31"/>
    <dataValidation allowBlank="1" showErrorMessage="1" promptTitle="2" sqref="C65 I25 C36 C10"/>
    <dataValidation allowBlank="1" showErrorMessage="1" promptTitle="1" sqref="I24 I9 C9 I30 I65"/>
    <dataValidation allowBlank="1" showErrorMessage="1" promptTitle="1.3" sqref="I12"/>
    <dataValidation allowBlank="1" showErrorMessage="1" sqref="D34"/>
    <dataValidation allowBlank="1" showErrorMessage="1" promptTitle="9..." sqref="C69:C70 C66:C67 C34"/>
    <dataValidation allowBlank="1" showErrorMessage="1" promptTitle="3.4" sqref="C61"/>
    <dataValidation allowBlank="1" showErrorMessage="1" promptTitle="3.4." sqref="C62:C63"/>
    <dataValidation allowBlank="1" showErrorMessage="1" promptTitle="3.3" sqref="C56"/>
    <dataValidation allowBlank="1" showErrorMessage="1" promptTitle="3.3." sqref="C57:C59"/>
    <dataValidation allowBlank="1" showErrorMessage="1" promptTitle="3.2" sqref="C46"/>
    <dataValidation allowBlank="1" showErrorMessage="1" promptTitle="3.2." sqref="C47:C54"/>
    <dataValidation allowBlank="1" showErrorMessage="1" promptTitle="3.1" sqref="C38"/>
    <dataValidation allowBlank="1" showErrorMessage="1" promptTitle="2.4" sqref="C35"/>
    <dataValidation allowBlank="1" showErrorMessage="1" promptTitle="2.3" sqref="C25"/>
    <dataValidation allowBlank="1" showErrorMessage="1" promptTitle="2.3." sqref="C26:C32"/>
    <dataValidation allowBlank="1" showErrorMessage="1" promptTitle="2.2" sqref="C17"/>
    <dataValidation allowBlank="1" showErrorMessage="1" promptTitle="2.2." sqref="C18:C23"/>
    <dataValidation allowBlank="1" showErrorMessage="1" promptTitle="2.1" sqref="C16 C11 C24 C33 C45 C55 C60 C64"/>
    <dataValidation type="decimal" operator="greaterThanOrEqual" allowBlank="1" showInputMessage="1" showErrorMessage="1" sqref="E9:F11">
      <formula1>0</formula1>
    </dataValidation>
    <dataValidation type="decimal" operator="greaterThanOrEqual" allowBlank="1" showInputMessage="1" showErrorMessage="1" errorTitle="ВНИМАНИЕ" error="НЕДОПУСТИМИ ОТРИЦАТЕЛНИ СТОЙНОСТИ" sqref="J24:K71 J10:K20 J22:K22 E12:F13 E15:F71">
      <formula1>0</formula1>
    </dataValidation>
    <dataValidation type="decimal" operator="lessThanOrEqual" allowBlank="1" showInputMessage="1" showErrorMessage="1" errorTitle="ВНИМАНИЕ !" error="НЕ СЕ ДОПУСКА ПОЛОЖИТЕЛНА СТОЙНОСТ" sqref="J21:K21">
      <formula1>0</formula1>
    </dataValidation>
  </dataValidations>
  <hyperlinks>
    <hyperlink ref="K55" location="Баланс!J54" display="Баланс!J54"/>
    <hyperlink ref="K54" location="Баланс!J53" display="Баланс!J53"/>
    <hyperlink ref="J55" location="Баланс!I54" display="Баланс!I54"/>
    <hyperlink ref="J54" location="Баланс!I53" display="Баланс!I53"/>
  </hyperlinks>
  <printOptions horizontalCentered="1"/>
  <pageMargins left="0.2362204724409449" right="0.1968503937007874" top="0.5511811023622047" bottom="0.4330708661417323" header="0.1968503937007874" footer="0.2362204724409449"/>
  <pageSetup blackAndWhite="1" fitToHeight="1" fitToWidth="1" horizontalDpi="600" verticalDpi="600" orientation="portrait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002060"/>
  </sheetPr>
  <dimension ref="A1:X60"/>
  <sheetViews>
    <sheetView view="pageBreakPreview" zoomScale="91" zoomScaleNormal="90" zoomScaleSheetLayoutView="91" workbookViewId="0" topLeftCell="A16">
      <selection activeCell="D12" sqref="D12"/>
    </sheetView>
  </sheetViews>
  <sheetFormatPr defaultColWidth="8.421875" defaultRowHeight="12.75"/>
  <cols>
    <col min="1" max="1" width="3.140625" style="104" customWidth="1"/>
    <col min="2" max="2" width="3.7109375" style="9" hidden="1" customWidth="1"/>
    <col min="3" max="3" width="46.140625" style="9" customWidth="1"/>
    <col min="4" max="5" width="11.7109375" style="9" customWidth="1"/>
    <col min="6" max="6" width="1.28515625" style="9" customWidth="1"/>
    <col min="7" max="7" width="3.00390625" style="16" customWidth="1"/>
    <col min="8" max="8" width="0.2890625" style="9" hidden="1" customWidth="1"/>
    <col min="9" max="9" width="44.8515625" style="9" customWidth="1"/>
    <col min="10" max="11" width="11.7109375" style="9" customWidth="1"/>
    <col min="12" max="12" width="3.57421875" style="9" customWidth="1"/>
    <col min="13" max="13" width="2.140625" style="9" customWidth="1"/>
    <col min="14" max="14" width="15.00390625" style="9" customWidth="1"/>
    <col min="15" max="15" width="15.28125" style="9" customWidth="1"/>
    <col min="16" max="22" width="8.421875" style="9" customWidth="1"/>
    <col min="23" max="23" width="0" style="9" hidden="1" customWidth="1"/>
    <col min="24" max="24" width="12.421875" style="9" hidden="1" customWidth="1"/>
    <col min="25" max="25" width="0" style="9" hidden="1" customWidth="1"/>
    <col min="26" max="16384" width="8.421875" style="9" customWidth="1"/>
  </cols>
  <sheetData>
    <row r="1" spans="1:11" s="24" customFormat="1" ht="18.75">
      <c r="A1" s="102"/>
      <c r="C1" s="640" t="s">
        <v>2</v>
      </c>
      <c r="D1" s="640" t="s">
        <v>57</v>
      </c>
      <c r="E1" s="640" t="s">
        <v>57</v>
      </c>
      <c r="F1" s="640" t="s">
        <v>57</v>
      </c>
      <c r="G1" s="640"/>
      <c r="H1" s="640"/>
      <c r="I1" s="640" t="s">
        <v>57</v>
      </c>
      <c r="J1" s="640" t="s">
        <v>57</v>
      </c>
      <c r="K1" s="640"/>
    </row>
    <row r="2" spans="1:11" s="24" customFormat="1" ht="19.5">
      <c r="A2" s="102"/>
      <c r="C2" s="641" t="s">
        <v>58</v>
      </c>
      <c r="D2" s="641"/>
      <c r="E2" s="641"/>
      <c r="F2" s="641"/>
      <c r="G2" s="641"/>
      <c r="H2" s="641"/>
      <c r="I2" s="641"/>
      <c r="J2" s="641"/>
      <c r="K2" s="641"/>
    </row>
    <row r="3" spans="1:11" s="24" customFormat="1" ht="19.5">
      <c r="A3" s="102"/>
      <c r="C3" s="641" t="s">
        <v>59</v>
      </c>
      <c r="D3" s="641"/>
      <c r="E3" s="641"/>
      <c r="F3" s="641"/>
      <c r="G3" s="641"/>
      <c r="H3" s="641"/>
      <c r="I3" s="641"/>
      <c r="J3" s="641"/>
      <c r="K3" s="641"/>
    </row>
    <row r="4" spans="1:11" s="24" customFormat="1" ht="19.5">
      <c r="A4" s="102"/>
      <c r="C4" s="634" t="str">
        <f>ime_firma</f>
        <v>ВОДОСНАБДЯВАНЕ И КАНАЛИЗАЦИЯ ЕООД</v>
      </c>
      <c r="D4" s="634"/>
      <c r="E4" s="634"/>
      <c r="F4" s="634"/>
      <c r="G4" s="634"/>
      <c r="H4" s="634"/>
      <c r="I4" s="634"/>
      <c r="J4" s="634"/>
      <c r="K4" s="634"/>
    </row>
    <row r="5" spans="1:11" s="24" customFormat="1" ht="35.25" customHeight="1">
      <c r="A5" s="102"/>
      <c r="C5" s="634" t="str">
        <f>CONCATENATE("за ",TEXT(data_na_otcheta,"yyyy г."))</f>
        <v>за 2019 г.</v>
      </c>
      <c r="D5" s="634"/>
      <c r="E5" s="634"/>
      <c r="F5" s="634"/>
      <c r="G5" s="634"/>
      <c r="H5" s="634"/>
      <c r="I5" s="634"/>
      <c r="J5" s="634"/>
      <c r="K5" s="634"/>
    </row>
    <row r="6" spans="1:11" s="24" customFormat="1" ht="12" customHeight="1">
      <c r="A6" s="102"/>
      <c r="C6" s="25"/>
      <c r="D6" s="25"/>
      <c r="E6" s="25"/>
      <c r="F6" s="25"/>
      <c r="G6" s="106"/>
      <c r="H6" s="25"/>
      <c r="I6" s="25"/>
      <c r="J6" s="25"/>
      <c r="K6" s="25"/>
    </row>
    <row r="7" spans="1:11" ht="15">
      <c r="A7" s="225">
        <v>1</v>
      </c>
      <c r="B7" s="83"/>
      <c r="C7" s="648" t="s">
        <v>60</v>
      </c>
      <c r="D7" s="642" t="s">
        <v>61</v>
      </c>
      <c r="E7" s="643"/>
      <c r="F7" s="26"/>
      <c r="G7" s="226">
        <v>1</v>
      </c>
      <c r="H7" s="227"/>
      <c r="I7" s="648" t="s">
        <v>62</v>
      </c>
      <c r="J7" s="642" t="s">
        <v>61</v>
      </c>
      <c r="K7" s="643"/>
    </row>
    <row r="8" spans="1:11" ht="15">
      <c r="A8" s="228">
        <v>1</v>
      </c>
      <c r="C8" s="649"/>
      <c r="D8" s="651" t="s">
        <v>63</v>
      </c>
      <c r="E8" s="646" t="s">
        <v>64</v>
      </c>
      <c r="F8" s="26"/>
      <c r="G8" s="229">
        <v>1</v>
      </c>
      <c r="H8" s="26"/>
      <c r="I8" s="649"/>
      <c r="J8" s="651" t="s">
        <v>63</v>
      </c>
      <c r="K8" s="646" t="s">
        <v>64</v>
      </c>
    </row>
    <row r="9" spans="1:11" ht="15.75" thickBot="1">
      <c r="A9" s="230">
        <v>1</v>
      </c>
      <c r="B9" s="231"/>
      <c r="C9" s="650"/>
      <c r="D9" s="652"/>
      <c r="E9" s="647"/>
      <c r="F9" s="26"/>
      <c r="G9" s="232">
        <v>1</v>
      </c>
      <c r="H9" s="233"/>
      <c r="I9" s="650"/>
      <c r="J9" s="652"/>
      <c r="K9" s="647"/>
    </row>
    <row r="10" spans="1:11" ht="15.75" thickTop="1">
      <c r="A10" s="103">
        <v>1</v>
      </c>
      <c r="B10" s="82"/>
      <c r="C10" s="73">
        <v>1</v>
      </c>
      <c r="D10" s="73">
        <v>2</v>
      </c>
      <c r="E10" s="27">
        <v>3</v>
      </c>
      <c r="F10" s="28"/>
      <c r="G10" s="98">
        <v>1</v>
      </c>
      <c r="H10" s="93"/>
      <c r="I10" s="73">
        <v>1</v>
      </c>
      <c r="J10" s="73">
        <v>2</v>
      </c>
      <c r="K10" s="27">
        <v>3</v>
      </c>
    </row>
    <row r="11" spans="1:11" ht="15">
      <c r="A11" s="71" t="s">
        <v>231</v>
      </c>
      <c r="B11" s="70"/>
      <c r="C11" s="78" t="s">
        <v>232</v>
      </c>
      <c r="D11" s="279"/>
      <c r="E11" s="280"/>
      <c r="F11" s="26"/>
      <c r="G11" s="107" t="s">
        <v>19</v>
      </c>
      <c r="H11" s="89"/>
      <c r="I11" s="78" t="s">
        <v>272</v>
      </c>
      <c r="J11" s="279"/>
      <c r="K11" s="280"/>
    </row>
    <row r="12" spans="1:11" ht="28.5">
      <c r="A12" s="71">
        <f>IF(B12="","",COUNT(B12))</f>
      </c>
      <c r="B12" s="70">
        <f>IF(D12+E12=0,"",1)</f>
      </c>
      <c r="C12" s="22" t="s">
        <v>233</v>
      </c>
      <c r="D12" s="74"/>
      <c r="E12" s="29"/>
      <c r="F12" s="26"/>
      <c r="G12" s="71">
        <f>IF(H12="","",COUNT(H12))</f>
        <v>1</v>
      </c>
      <c r="H12" s="70">
        <f>IF(J12+K12=0,"",1)</f>
        <v>1</v>
      </c>
      <c r="I12" s="78" t="s">
        <v>256</v>
      </c>
      <c r="J12" s="75">
        <f>J13+J14+J15</f>
        <v>13351</v>
      </c>
      <c r="K12" s="30">
        <f>K13+K14+K15</f>
        <v>12493</v>
      </c>
    </row>
    <row r="13" spans="1:11" ht="28.5">
      <c r="A13" s="85">
        <f>IF(B13="","",COUNT(B$12:B13))</f>
        <v>1</v>
      </c>
      <c r="B13" s="70">
        <f>IF(D13+E13=0,"",1)</f>
        <v>1</v>
      </c>
      <c r="C13" s="22" t="s">
        <v>234</v>
      </c>
      <c r="D13" s="30">
        <f>D14+D15</f>
        <v>8688</v>
      </c>
      <c r="E13" s="30">
        <f>E14+E15</f>
        <v>7071</v>
      </c>
      <c r="F13" s="26"/>
      <c r="G13" s="101">
        <f>IF(H13="","","a)")</f>
      </c>
      <c r="H13" s="72">
        <f aca="true" t="shared" si="0" ref="H13:H43">IF(J13+K13=0,"",1)</f>
      </c>
      <c r="I13" s="100" t="s">
        <v>257</v>
      </c>
      <c r="J13" s="74"/>
      <c r="K13" s="29"/>
    </row>
    <row r="14" spans="1:11" ht="15">
      <c r="A14" s="64" t="str">
        <f>IF(B14="","","a)")</f>
        <v>a)</v>
      </c>
      <c r="B14" s="72">
        <f aca="true" t="shared" si="1" ref="B14:B43">IF(D14+E14=0,"",1)</f>
        <v>1</v>
      </c>
      <c r="C14" s="23" t="s">
        <v>235</v>
      </c>
      <c r="D14" s="74">
        <v>6910</v>
      </c>
      <c r="E14" s="29">
        <v>5800</v>
      </c>
      <c r="F14" s="26"/>
      <c r="G14" s="101">
        <f>IF(H14="","",IF(H13="","a)","б)"))</f>
      </c>
      <c r="H14" s="72">
        <f t="shared" si="0"/>
      </c>
      <c r="I14" s="23" t="s">
        <v>258</v>
      </c>
      <c r="J14" s="74"/>
      <c r="K14" s="29"/>
    </row>
    <row r="15" spans="1:11" ht="15">
      <c r="A15" s="64" t="str">
        <f>IF(B15="","",IF(B14="","a)","б)"))</f>
        <v>б)</v>
      </c>
      <c r="B15" s="72">
        <f t="shared" si="1"/>
        <v>1</v>
      </c>
      <c r="C15" s="23" t="s">
        <v>236</v>
      </c>
      <c r="D15" s="74">
        <v>1778</v>
      </c>
      <c r="E15" s="29">
        <v>1271</v>
      </c>
      <c r="F15" s="26"/>
      <c r="G15" s="101" t="str">
        <f>IF(H15="","",IF(COUNT(H13:H14)=0,"a)",IF(COUNT(H13:H14)=2,"в)","б)")))</f>
        <v>a)</v>
      </c>
      <c r="H15" s="72">
        <f t="shared" si="0"/>
        <v>1</v>
      </c>
      <c r="I15" s="23" t="s">
        <v>259</v>
      </c>
      <c r="J15" s="74">
        <v>13351</v>
      </c>
      <c r="K15" s="29">
        <v>12493</v>
      </c>
    </row>
    <row r="16" spans="1:11" ht="28.5">
      <c r="A16" s="71">
        <f>IF(B16="","",COUNT(B$12:B16)-COUNT(B14:B15))</f>
        <v>2</v>
      </c>
      <c r="B16" s="70">
        <f t="shared" si="1"/>
        <v>1</v>
      </c>
      <c r="C16" s="78" t="s">
        <v>237</v>
      </c>
      <c r="D16" s="75">
        <f>D17+D18</f>
        <v>6578</v>
      </c>
      <c r="E16" s="30">
        <f>E17+E18</f>
        <v>5663</v>
      </c>
      <c r="F16" s="26"/>
      <c r="G16" s="99">
        <f>IF(H16="","",COUNT(H$12:H16)-COUNT(H$13:H$15))</f>
      </c>
      <c r="H16" s="70">
        <f t="shared" si="0"/>
      </c>
      <c r="I16" s="22" t="s">
        <v>112</v>
      </c>
      <c r="J16" s="74"/>
      <c r="K16" s="29">
        <v>0</v>
      </c>
    </row>
    <row r="17" spans="1:11" ht="28.5">
      <c r="A17" s="64" t="str">
        <f>IF(B17="","","a)")</f>
        <v>a)</v>
      </c>
      <c r="B17" s="72">
        <f t="shared" si="1"/>
        <v>1</v>
      </c>
      <c r="C17" s="23" t="s">
        <v>238</v>
      </c>
      <c r="D17" s="74">
        <v>5084</v>
      </c>
      <c r="E17" s="29">
        <v>4374</v>
      </c>
      <c r="F17" s="26"/>
      <c r="G17" s="85">
        <f>IF(H17="","",COUNT(H$12:H17)-COUNT(H$13:H$15))</f>
        <v>2</v>
      </c>
      <c r="H17" s="96">
        <f t="shared" si="0"/>
        <v>1</v>
      </c>
      <c r="I17" s="97" t="s">
        <v>113</v>
      </c>
      <c r="J17" s="74">
        <v>503</v>
      </c>
      <c r="K17" s="29">
        <v>466</v>
      </c>
    </row>
    <row r="18" spans="1:11" ht="15">
      <c r="A18" s="64" t="str">
        <f>IF(B18="","",IF(B17="","a)","б)"))</f>
        <v>б)</v>
      </c>
      <c r="B18" s="72">
        <f t="shared" si="1"/>
        <v>1</v>
      </c>
      <c r="C18" s="23" t="s">
        <v>239</v>
      </c>
      <c r="D18" s="74">
        <v>1494</v>
      </c>
      <c r="E18" s="29">
        <v>1289</v>
      </c>
      <c r="F18" s="26"/>
      <c r="G18" s="71">
        <f>IF(H18="","",COUNT(H$12:H18)-COUNT(H$13:H$15))</f>
        <v>3</v>
      </c>
      <c r="H18" s="70">
        <f t="shared" si="0"/>
        <v>1</v>
      </c>
      <c r="I18" s="78" t="s">
        <v>260</v>
      </c>
      <c r="J18" s="74">
        <v>1892</v>
      </c>
      <c r="K18" s="29">
        <v>1031</v>
      </c>
    </row>
    <row r="19" spans="1:11" ht="15">
      <c r="A19" s="64">
        <f>IF(B19="","","-")</f>
      </c>
      <c r="B19" s="72">
        <f t="shared" si="1"/>
      </c>
      <c r="C19" s="23" t="s">
        <v>240</v>
      </c>
      <c r="D19" s="74"/>
      <c r="E19" s="29"/>
      <c r="F19" s="26"/>
      <c r="G19" s="64">
        <f>IF(H19="","","-")</f>
      </c>
      <c r="H19" s="72">
        <f t="shared" si="0"/>
      </c>
      <c r="I19" s="23" t="s">
        <v>261</v>
      </c>
      <c r="J19" s="74"/>
      <c r="K19" s="29"/>
    </row>
    <row r="20" spans="1:11" ht="15">
      <c r="A20" s="71">
        <f>IF(B20="","",COUNT(B$12:B20)-COUNT(B17:B19,B14:B15))</f>
        <v>3</v>
      </c>
      <c r="B20" s="70">
        <f t="shared" si="1"/>
        <v>1</v>
      </c>
      <c r="C20" s="78" t="s">
        <v>241</v>
      </c>
      <c r="D20" s="75">
        <f>D21+D24</f>
        <v>405</v>
      </c>
      <c r="E20" s="30">
        <f>E21+E24</f>
        <v>460</v>
      </c>
      <c r="F20" s="26"/>
      <c r="G20" s="234" t="str">
        <f>IF(H20="","","""")</f>
        <v>"</v>
      </c>
      <c r="H20" s="72">
        <f t="shared" si="0"/>
        <v>1</v>
      </c>
      <c r="I20" s="80" t="s">
        <v>65</v>
      </c>
      <c r="J20" s="345">
        <f>J12+J16+J17+J18</f>
        <v>15746</v>
      </c>
      <c r="K20" s="346">
        <f>K12+K16+K17+K18</f>
        <v>13990</v>
      </c>
    </row>
    <row r="21" spans="1:11" ht="30.75" customHeight="1">
      <c r="A21" s="64" t="str">
        <f>IF(B21="","","a)")</f>
        <v>a)</v>
      </c>
      <c r="B21" s="72">
        <f t="shared" si="1"/>
        <v>1</v>
      </c>
      <c r="C21" s="79" t="s">
        <v>242</v>
      </c>
      <c r="D21" s="75">
        <f>D22+D23</f>
        <v>295</v>
      </c>
      <c r="E21" s="30">
        <f>E22+E23</f>
        <v>309</v>
      </c>
      <c r="F21" s="26"/>
      <c r="G21" s="85">
        <f>IF(H21="","",COUNT(H$12:H21)-COUNT(H$13:H$15,H$19:H$20))</f>
      </c>
      <c r="H21" s="70">
        <f t="shared" si="0"/>
      </c>
      <c r="I21" s="90" t="s">
        <v>262</v>
      </c>
      <c r="J21" s="74"/>
      <c r="K21" s="29"/>
    </row>
    <row r="22" spans="1:11" ht="15">
      <c r="A22" s="64" t="str">
        <f>IF(B22="","","-")</f>
        <v>-</v>
      </c>
      <c r="B22" s="72">
        <f t="shared" si="1"/>
        <v>1</v>
      </c>
      <c r="C22" s="23" t="s">
        <v>243</v>
      </c>
      <c r="D22" s="74">
        <v>295</v>
      </c>
      <c r="E22" s="29">
        <v>309</v>
      </c>
      <c r="F22" s="26"/>
      <c r="G22" s="64">
        <f>IF(H22="","","-")</f>
      </c>
      <c r="H22" s="72">
        <f t="shared" si="0"/>
      </c>
      <c r="I22" s="23" t="s">
        <v>263</v>
      </c>
      <c r="J22" s="74"/>
      <c r="K22" s="29"/>
    </row>
    <row r="23" spans="1:11" ht="47.25" customHeight="1">
      <c r="A23" s="64">
        <f>IF(B23="","","-")</f>
      </c>
      <c r="B23" s="72">
        <f t="shared" si="1"/>
      </c>
      <c r="C23" s="23" t="s">
        <v>244</v>
      </c>
      <c r="D23" s="74"/>
      <c r="E23" s="29"/>
      <c r="F23" s="26"/>
      <c r="G23" s="85">
        <f>IF(H23="","",COUNT(H$12:H23)-COUNT(H$13:H$15,H$19:H$20,H$22))</f>
      </c>
      <c r="H23" s="70">
        <f t="shared" si="0"/>
      </c>
      <c r="I23" s="22" t="s">
        <v>264</v>
      </c>
      <c r="J23" s="86"/>
      <c r="K23" s="84"/>
    </row>
    <row r="24" spans="1:15" ht="15">
      <c r="A24" s="64" t="str">
        <f>IF(B24="","",IF(B23="","a)","б)"))</f>
        <v>a)</v>
      </c>
      <c r="B24" s="72">
        <f t="shared" si="1"/>
        <v>1</v>
      </c>
      <c r="C24" s="79" t="s">
        <v>245</v>
      </c>
      <c r="D24" s="74">
        <v>110</v>
      </c>
      <c r="E24" s="29">
        <v>151</v>
      </c>
      <c r="F24" s="26"/>
      <c r="G24" s="64">
        <f>IF(H24="","","-")</f>
      </c>
      <c r="H24" s="72">
        <f t="shared" si="0"/>
      </c>
      <c r="I24" s="23" t="s">
        <v>263</v>
      </c>
      <c r="J24" s="74"/>
      <c r="K24" s="29"/>
      <c r="N24" s="644" t="str">
        <f>C25</f>
        <v>Други разходи, в т.ч.:</v>
      </c>
      <c r="O24" s="645"/>
    </row>
    <row r="25" spans="1:15" ht="15" customHeight="1">
      <c r="A25" s="71">
        <f>IF(B25="","",COUNT(B$12:B25)-COUNT(B14:B15,B17:B19,B21:B24))</f>
        <v>4</v>
      </c>
      <c r="B25" s="70">
        <f t="shared" si="1"/>
        <v>1</v>
      </c>
      <c r="C25" s="78" t="s">
        <v>246</v>
      </c>
      <c r="D25" s="94">
        <f>D26+D27+N26</f>
        <v>1192</v>
      </c>
      <c r="E25" s="95">
        <f>E26+E27+O26</f>
        <v>664</v>
      </c>
      <c r="F25" s="26"/>
      <c r="G25" s="71">
        <f>IF(H25="","",COUNT(H$12:H25)-COUNT(H$13:H$15,H$19:H$20,H$22,H$24))</f>
      </c>
      <c r="H25" s="70">
        <f t="shared" si="0"/>
      </c>
      <c r="I25" s="78" t="s">
        <v>265</v>
      </c>
      <c r="J25" s="76"/>
      <c r="K25" s="31">
        <v>0</v>
      </c>
      <c r="N25" s="52" t="s">
        <v>63</v>
      </c>
      <c r="O25" s="52" t="s">
        <v>64</v>
      </c>
    </row>
    <row r="26" spans="1:15" ht="15">
      <c r="A26" s="64" t="str">
        <f>IF(B26="","","a)")</f>
        <v>a)</v>
      </c>
      <c r="B26" s="72">
        <f t="shared" si="1"/>
        <v>1</v>
      </c>
      <c r="C26" s="23" t="s">
        <v>247</v>
      </c>
      <c r="D26" s="74">
        <v>568</v>
      </c>
      <c r="E26" s="29">
        <v>295</v>
      </c>
      <c r="F26" s="26"/>
      <c r="G26" s="101">
        <f>IF(H26="","","a)")</f>
      </c>
      <c r="H26" s="72">
        <f t="shared" si="0"/>
      </c>
      <c r="I26" s="23" t="s">
        <v>266</v>
      </c>
      <c r="J26" s="74"/>
      <c r="K26" s="29"/>
      <c r="N26" s="8">
        <v>624</v>
      </c>
      <c r="O26" s="8">
        <v>369</v>
      </c>
    </row>
    <row r="27" spans="1:11" ht="26.25">
      <c r="A27" s="64">
        <f>IF(B27="","",IF(B26="","a)","б)"))</f>
      </c>
      <c r="B27" s="72">
        <f t="shared" si="1"/>
      </c>
      <c r="C27" s="23" t="s">
        <v>248</v>
      </c>
      <c r="D27" s="74"/>
      <c r="E27" s="29"/>
      <c r="F27" s="26"/>
      <c r="G27" s="101">
        <f>IF(H27="","",IF(H26="","a)","б)"))</f>
      </c>
      <c r="H27" s="72">
        <f t="shared" si="0"/>
      </c>
      <c r="I27" s="79" t="s">
        <v>267</v>
      </c>
      <c r="J27" s="74"/>
      <c r="K27" s="29"/>
    </row>
    <row r="28" spans="1:11" ht="15">
      <c r="A28" s="234" t="str">
        <f>IF(B28="","","""")</f>
        <v>"</v>
      </c>
      <c r="B28" s="72">
        <f t="shared" si="1"/>
        <v>1</v>
      </c>
      <c r="C28" s="80" t="s">
        <v>66</v>
      </c>
      <c r="D28" s="345">
        <f>D12+D13+D16+D20+D25</f>
        <v>16863</v>
      </c>
      <c r="E28" s="346">
        <f>E12+E13+E16+E20+E25</f>
        <v>13858</v>
      </c>
      <c r="F28" s="26"/>
      <c r="G28" s="101">
        <f>IF(H28="","",IF(COUNT(H26:H27)=0,"a)",IF(COUNT(H26:H27)=2,"в)","б)")))</f>
      </c>
      <c r="H28" s="72">
        <f t="shared" si="0"/>
      </c>
      <c r="I28" s="79" t="s">
        <v>268</v>
      </c>
      <c r="J28" s="74"/>
      <c r="K28" s="29">
        <v>0</v>
      </c>
    </row>
    <row r="29" spans="1:11" ht="47.25" customHeight="1">
      <c r="A29" s="85">
        <f>IF(B29="","",COUNT(B$12:B29)-COUNT(B14:B15,B17:B19,B21:B24,B26:B28))</f>
      </c>
      <c r="B29" s="70">
        <f t="shared" si="1"/>
      </c>
      <c r="C29" s="22" t="s">
        <v>249</v>
      </c>
      <c r="D29" s="76"/>
      <c r="E29" s="31"/>
      <c r="F29" s="26"/>
      <c r="G29" s="234">
        <f>IF(H29="","","""")</f>
      </c>
      <c r="H29" s="72">
        <f t="shared" si="0"/>
      </c>
      <c r="I29" s="80" t="s">
        <v>114</v>
      </c>
      <c r="J29" s="345">
        <f>J21+J23+J25</f>
        <v>0</v>
      </c>
      <c r="K29" s="346">
        <f>K21+K23+K25</f>
        <v>0</v>
      </c>
    </row>
    <row r="30" spans="1:11" ht="15">
      <c r="A30" s="64">
        <f>IF(B30="","","-")</f>
      </c>
      <c r="B30" s="72">
        <f t="shared" si="1"/>
      </c>
      <c r="C30" s="79" t="s">
        <v>250</v>
      </c>
      <c r="D30" s="74"/>
      <c r="E30" s="29"/>
      <c r="F30" s="26"/>
      <c r="G30" s="108"/>
      <c r="H30" s="70">
        <f t="shared" si="0"/>
      </c>
      <c r="I30" s="91"/>
      <c r="J30" s="87"/>
      <c r="K30" s="18"/>
    </row>
    <row r="31" spans="1:11" ht="29.25">
      <c r="A31" s="71">
        <f>IF(B31="","",COUNT(B$12:B31)-COUNT(B14:B15,B17:B19,B21:B24,B26:B28,B30))</f>
        <v>5</v>
      </c>
      <c r="B31" s="70">
        <f t="shared" si="1"/>
        <v>1</v>
      </c>
      <c r="C31" s="22" t="s">
        <v>251</v>
      </c>
      <c r="D31" s="31">
        <v>241</v>
      </c>
      <c r="E31" s="31">
        <v>112</v>
      </c>
      <c r="F31" s="26"/>
      <c r="G31" s="108"/>
      <c r="H31" s="70">
        <f t="shared" si="0"/>
      </c>
      <c r="I31" s="91"/>
      <c r="J31" s="87"/>
      <c r="K31" s="18"/>
    </row>
    <row r="32" spans="1:11" ht="15">
      <c r="A32" s="64" t="str">
        <f>IF(B32="","","-")</f>
        <v>-</v>
      </c>
      <c r="B32" s="72">
        <f t="shared" si="1"/>
        <v>1</v>
      </c>
      <c r="C32" s="23" t="s">
        <v>319</v>
      </c>
      <c r="D32" s="74">
        <v>215</v>
      </c>
      <c r="E32" s="29">
        <v>103</v>
      </c>
      <c r="F32" s="26"/>
      <c r="G32" s="108"/>
      <c r="H32" s="70">
        <f t="shared" si="0"/>
      </c>
      <c r="I32" s="91"/>
      <c r="J32" s="87"/>
      <c r="K32" s="18"/>
    </row>
    <row r="33" spans="1:11" ht="15.75" customHeight="1">
      <c r="A33" s="64" t="str">
        <f>IF(B33="","","-")</f>
        <v>-</v>
      </c>
      <c r="B33" s="72">
        <f t="shared" si="1"/>
        <v>1</v>
      </c>
      <c r="C33" s="79" t="s">
        <v>320</v>
      </c>
      <c r="D33" s="74">
        <v>26</v>
      </c>
      <c r="E33" s="29">
        <v>9</v>
      </c>
      <c r="F33" s="26"/>
      <c r="G33" s="108"/>
      <c r="H33" s="70">
        <f t="shared" si="0"/>
      </c>
      <c r="I33" s="91"/>
      <c r="J33" s="87"/>
      <c r="K33" s="18"/>
    </row>
    <row r="34" spans="1:11" ht="15">
      <c r="A34" s="234" t="str">
        <f>IF(B34="","","""")</f>
        <v>"</v>
      </c>
      <c r="B34" s="72">
        <f t="shared" si="1"/>
        <v>1</v>
      </c>
      <c r="C34" s="80" t="s">
        <v>67</v>
      </c>
      <c r="D34" s="345">
        <f>D29+D31</f>
        <v>241</v>
      </c>
      <c r="E34" s="345">
        <f>E29+E31</f>
        <v>112</v>
      </c>
      <c r="F34" s="26"/>
      <c r="G34" s="234" t="str">
        <f>IF(H34="","","""")</f>
        <v>"</v>
      </c>
      <c r="H34" s="72">
        <f t="shared" si="0"/>
        <v>1</v>
      </c>
      <c r="I34" s="80" t="s">
        <v>69</v>
      </c>
      <c r="J34" s="345">
        <f>J20+J29</f>
        <v>15746</v>
      </c>
      <c r="K34" s="346">
        <f>K20+K29</f>
        <v>13990</v>
      </c>
    </row>
    <row r="35" spans="1:11" ht="15">
      <c r="A35" s="234" t="str">
        <f>IF(B35="","","""")</f>
        <v>"</v>
      </c>
      <c r="B35" s="72">
        <f t="shared" si="1"/>
        <v>1</v>
      </c>
      <c r="C35" s="80" t="s">
        <v>68</v>
      </c>
      <c r="D35" s="345">
        <f>D28+D34</f>
        <v>17104</v>
      </c>
      <c r="E35" s="346">
        <f>E28+E34</f>
        <v>13970</v>
      </c>
      <c r="F35" s="26"/>
      <c r="G35" s="71">
        <f>IF(H35="","",COUNT(H$12:H35)-COUNT(H$13:H$15,H$19:H$20,H$22,H$24,H$26:H$29,H$34))</f>
        <v>4</v>
      </c>
      <c r="H35" s="70">
        <f t="shared" si="0"/>
        <v>1</v>
      </c>
      <c r="I35" s="78" t="s">
        <v>269</v>
      </c>
      <c r="J35" s="345">
        <f>IF(D35&gt;J34,D35-J34,0)</f>
        <v>1358</v>
      </c>
      <c r="K35" s="346">
        <f>IF(E35&gt;K34,E35-K34,0)</f>
        <v>0</v>
      </c>
    </row>
    <row r="36" spans="1:11" ht="15">
      <c r="A36" s="71">
        <f>IF(B36="","",COUNT(B$12:B36)-COUNT(B14:B15,B17:B19,B21:B24,B26:B28,B30,B32:B35))</f>
        <v>6</v>
      </c>
      <c r="B36" s="70">
        <f t="shared" si="1"/>
        <v>1</v>
      </c>
      <c r="C36" s="78" t="s">
        <v>252</v>
      </c>
      <c r="D36" s="345">
        <f>IF(D35&lt;J34,J34-D35,0)</f>
        <v>0</v>
      </c>
      <c r="E36" s="346">
        <f>IF(E35&lt;K34,K34-E35,0)</f>
        <v>20</v>
      </c>
      <c r="F36" s="26"/>
      <c r="G36" s="71">
        <f>IF(H36="","",COUNT(H$12:H36)-COUNT(H$13:H$15,H$19:H$20,H$22,H$24,H$26:H$29,H$34))</f>
      </c>
      <c r="H36" s="70">
        <f t="shared" si="0"/>
      </c>
      <c r="I36" s="78" t="s">
        <v>270</v>
      </c>
      <c r="J36" s="74"/>
      <c r="K36" s="29"/>
    </row>
    <row r="37" spans="1:11" ht="15">
      <c r="A37" s="71">
        <f>IF(B37="","",COUNT(B$12:B37)-COUNT(B14:B15,B17:B19,B21:B24,B26:B28,B30,B32:B35))</f>
      </c>
      <c r="B37" s="70">
        <f t="shared" si="1"/>
      </c>
      <c r="C37" s="78" t="s">
        <v>253</v>
      </c>
      <c r="D37" s="74"/>
      <c r="E37" s="29"/>
      <c r="F37" s="26"/>
      <c r="G37" s="234" t="str">
        <f>IF(H37="","","""")</f>
        <v>"</v>
      </c>
      <c r="H37" s="72">
        <f t="shared" si="0"/>
        <v>1</v>
      </c>
      <c r="I37" s="80" t="s">
        <v>71</v>
      </c>
      <c r="J37" s="345">
        <f>J20+J29+J36</f>
        <v>15746</v>
      </c>
      <c r="K37" s="346">
        <f>K20+K29+K36</f>
        <v>13990</v>
      </c>
    </row>
    <row r="38" spans="1:24" ht="29.25">
      <c r="A38" s="234" t="str">
        <f>IF(B38="","","""")</f>
        <v>"</v>
      </c>
      <c r="B38" s="72">
        <f t="shared" si="1"/>
        <v>1</v>
      </c>
      <c r="C38" s="80" t="s">
        <v>70</v>
      </c>
      <c r="D38" s="347">
        <f>D28+D29+D31+D37</f>
        <v>17104</v>
      </c>
      <c r="E38" s="348">
        <f>E28+E29+E31+E37</f>
        <v>13970</v>
      </c>
      <c r="F38" s="26"/>
      <c r="G38" s="85">
        <f>IF(H38="","",COUNT(H$12:H38)-COUNT(H$13:H$15,H$19:H$20,H$22,H$24,H$26:H$29,H$34,H$37))</f>
        <v>5</v>
      </c>
      <c r="H38" s="70">
        <f t="shared" si="0"/>
        <v>1</v>
      </c>
      <c r="I38" s="22" t="s">
        <v>271</v>
      </c>
      <c r="J38" s="75">
        <f>IF(D38&gt;J37,D38-J37,0)</f>
        <v>1358</v>
      </c>
      <c r="K38" s="30">
        <f>IF(E38&gt;K37,E38-K37,0)</f>
        <v>0</v>
      </c>
      <c r="X38" s="9" t="str">
        <f>IF(H42="","",CONCATENATE(" + ред  ",G42,))</f>
        <v> + ред  6</v>
      </c>
    </row>
    <row r="39" spans="1:24" ht="29.25">
      <c r="A39" s="71">
        <f>IF(B39="","",COUNT(B$12:B39)-COUNT(B14:B15,B17:B19,B21:B24,B26:B28,B30,B32:B35,B38))</f>
        <v>7</v>
      </c>
      <c r="B39" s="70">
        <f t="shared" si="1"/>
        <v>1</v>
      </c>
      <c r="C39" s="22" t="s">
        <v>254</v>
      </c>
      <c r="D39" s="75">
        <f>IF(D38&lt;J37,J37-D38,0)</f>
        <v>0</v>
      </c>
      <c r="E39" s="30">
        <f>IF(E38&lt;K37,K37-E38,0)</f>
        <v>20</v>
      </c>
      <c r="F39" s="26"/>
      <c r="G39" s="108"/>
      <c r="H39" s="70">
        <f t="shared" si="0"/>
      </c>
      <c r="I39" s="92"/>
      <c r="J39" s="88"/>
      <c r="K39" s="33"/>
      <c r="N39" s="38">
        <f>IF(N43=1," ПРОВЕРЕТЕ ЗА КОРЕКТНОСТ  СТАТИЯ      / РАЗХОДИ ЗА ДАНЪЦИ /  ","")</f>
      </c>
      <c r="X39" s="9" t="str">
        <f>IF(H37="","",CONCATENATE("Общо приходи "))</f>
        <v>Общо приходи </v>
      </c>
    </row>
    <row r="40" spans="1:24" ht="15">
      <c r="A40" s="71">
        <f>IF(B40="","",COUNT(B$12:B40)-COUNT(B14:B15,B17:B19,B21:B24,B26:B28,B30,B32:B35,B38))</f>
        <v>8</v>
      </c>
      <c r="B40" s="70">
        <f t="shared" si="1"/>
        <v>1</v>
      </c>
      <c r="C40" s="80" t="s">
        <v>214</v>
      </c>
      <c r="D40" s="77">
        <v>0</v>
      </c>
      <c r="E40" s="32">
        <v>1</v>
      </c>
      <c r="F40" s="26"/>
      <c r="G40" s="108"/>
      <c r="H40" s="70">
        <f t="shared" si="0"/>
      </c>
      <c r="I40" s="92"/>
      <c r="J40" s="88"/>
      <c r="K40" s="33"/>
      <c r="W40" s="9" t="str">
        <f>IF(B40="","",CONCATENATE(" + ",A40))</f>
        <v> + 8</v>
      </c>
      <c r="X40" s="9" t="str">
        <f>IF(H38="","",CONCATENATE(" ред  ",G38," от раздел Б"))</f>
        <v> ред  5 от раздел Б</v>
      </c>
    </row>
    <row r="41" spans="1:24" ht="15">
      <c r="A41" s="71">
        <f>IF(B41="","",COUNT(B$12:B41)-COUNT(B14:B15,B17:B19,B21:B24,B26:B28,B30,B32:B35,B38))</f>
        <v>9</v>
      </c>
      <c r="B41" s="70">
        <f t="shared" si="1"/>
        <v>1</v>
      </c>
      <c r="C41" s="81" t="s">
        <v>273</v>
      </c>
      <c r="D41" s="77">
        <v>0</v>
      </c>
      <c r="E41" s="32">
        <v>5</v>
      </c>
      <c r="F41" s="26"/>
      <c r="G41" s="108"/>
      <c r="H41" s="70">
        <f t="shared" si="0"/>
      </c>
      <c r="I41" s="23"/>
      <c r="J41" s="88"/>
      <c r="K41" s="33"/>
      <c r="M41" s="34"/>
      <c r="N41" s="37"/>
      <c r="O41" s="37"/>
      <c r="P41" s="35"/>
      <c r="Q41" s="35"/>
      <c r="W41" s="9" t="str">
        <f>IF(B41="","",CONCATENATE(" + ",A41))</f>
        <v> + 9</v>
      </c>
      <c r="X41" s="9" t="str">
        <f>IF(COUNT(B40:B41)=0,""," от раздел А")</f>
        <v> от раздел А</v>
      </c>
    </row>
    <row r="42" spans="1:23" ht="15">
      <c r="A42" s="235">
        <f>IF(B42="","",COUNT(B$12:B42)-COUNT(B14:B15,B17:B19,B21:B24,B26:B28,B30,B32:B35,B38))</f>
        <v>10</v>
      </c>
      <c r="B42" s="83">
        <f t="shared" si="1"/>
        <v>1</v>
      </c>
      <c r="C42" s="236" t="s">
        <v>255</v>
      </c>
      <c r="D42" s="345">
        <f>IF((D38+D40+D41)&lt;J37,J37-D38-D40-D41,0)</f>
        <v>0</v>
      </c>
      <c r="E42" s="346">
        <f>IF((E38+E40+E41)&lt;K37,K37-E38-E40-E41,0)</f>
        <v>14</v>
      </c>
      <c r="F42" s="26"/>
      <c r="G42" s="71">
        <f>IF(H42="","",COUNT(H$12:H42)-COUNT(H$13:H$15,H$19:H$20,H$22,H$24,H$26:H$29,H$34,H$37))</f>
        <v>6</v>
      </c>
      <c r="H42" s="70">
        <f t="shared" si="0"/>
        <v>1</v>
      </c>
      <c r="I42" s="78" t="str">
        <f>IF(H42=0,"Загуба",CONCATENATE("Загуба"," (",X40,W40,W41,X41,") "))</f>
        <v>Загуба ( ред  5 от раздел Б + 8 + 9 от раздел А) </v>
      </c>
      <c r="J42" s="345">
        <f>IF((D38+D40+D41)&gt;J37,D38-J37+D40+D41,0)</f>
        <v>1358</v>
      </c>
      <c r="K42" s="346">
        <f>IF(E38&gt;K37,E38-K37+E40+E41,0)</f>
        <v>0</v>
      </c>
      <c r="M42" s="34"/>
      <c r="N42" s="37"/>
      <c r="O42" s="37"/>
      <c r="P42" s="35"/>
      <c r="Q42" s="35"/>
      <c r="W42" s="9" t="str">
        <f>IF(B42="","",CONCATENATE(" + ",A42))</f>
        <v> + 10</v>
      </c>
    </row>
    <row r="43" spans="1:14" ht="15">
      <c r="A43" s="234"/>
      <c r="B43" s="72">
        <f t="shared" si="1"/>
        <v>1</v>
      </c>
      <c r="C43" s="237" t="str">
        <f>CONCATENATE("Всичко (общо разходи ) ",W40,W41,W42)</f>
        <v>Всичко (общо разходи )  + 8 + 9 + 10</v>
      </c>
      <c r="D43" s="349">
        <f>D38+D40+D41+D42</f>
        <v>17104</v>
      </c>
      <c r="E43" s="350">
        <f>E38+E40+E41+E42</f>
        <v>13990</v>
      </c>
      <c r="F43" s="26"/>
      <c r="G43" s="234"/>
      <c r="H43" s="70">
        <f t="shared" si="0"/>
        <v>1</v>
      </c>
      <c r="I43" s="78" t="str">
        <f>IF(H38=0,"Всичко",CONCATENATE("Всичко"," (",X39,X38,")"))</f>
        <v>Всичко (Общо приходи  + ред  6)</v>
      </c>
      <c r="J43" s="349">
        <f>J37+J42</f>
        <v>17104</v>
      </c>
      <c r="K43" s="350">
        <f>K37+K42</f>
        <v>13990</v>
      </c>
      <c r="N43" s="37"/>
    </row>
    <row r="44" spans="3:11" ht="15">
      <c r="C44" s="10"/>
      <c r="D44" s="28"/>
      <c r="E44" s="28"/>
      <c r="F44" s="26"/>
      <c r="G44" s="109"/>
      <c r="H44" s="26"/>
      <c r="I44" s="10"/>
      <c r="J44" s="28"/>
      <c r="K44" s="28"/>
    </row>
    <row r="45" spans="3:11" ht="15">
      <c r="C45" s="10"/>
      <c r="D45" s="28"/>
      <c r="E45" s="28"/>
      <c r="F45" s="26"/>
      <c r="G45" s="109"/>
      <c r="H45" s="26"/>
      <c r="I45" s="10"/>
      <c r="J45" s="28"/>
      <c r="K45" s="28"/>
    </row>
    <row r="46" spans="3:11" ht="15">
      <c r="C46" s="10"/>
      <c r="D46" s="28"/>
      <c r="E46" s="28"/>
      <c r="F46" s="26"/>
      <c r="G46" s="109"/>
      <c r="H46" s="26"/>
      <c r="I46" s="10"/>
      <c r="J46" s="28"/>
      <c r="K46" s="28"/>
    </row>
    <row r="47" spans="3:13" ht="51" customHeight="1">
      <c r="C47" s="6" t="str">
        <f>CONCATENATE("Дата на съставяне: ",TEXT(data_na_sustaviane,"dd.mm.yyyy"))</f>
        <v>Дата на съставяне: 16.03.2020 г.</v>
      </c>
      <c r="D47" s="19"/>
      <c r="E47" s="20"/>
      <c r="F47" s="19"/>
      <c r="G47" s="110"/>
      <c r="H47" s="19"/>
      <c r="I47" s="19"/>
      <c r="J47" s="21"/>
      <c r="K47" s="10"/>
      <c r="L47" s="11"/>
      <c r="M47" s="11"/>
    </row>
    <row r="48" spans="3:13" ht="18.75" customHeight="1">
      <c r="C48" s="7" t="str">
        <f>CONCATENATE(grad)</f>
        <v>гр. Хасково</v>
      </c>
      <c r="D48" s="12"/>
      <c r="E48" s="12"/>
      <c r="F48" s="12"/>
      <c r="G48" s="13"/>
      <c r="H48" s="12"/>
      <c r="I48" s="12"/>
      <c r="J48" s="12"/>
      <c r="K48" s="10"/>
      <c r="L48" s="11"/>
      <c r="M48" s="11"/>
    </row>
    <row r="49" spans="1:9" s="12" customFormat="1" ht="12.75">
      <c r="A49" s="105"/>
      <c r="E49" s="13"/>
      <c r="G49" s="13"/>
      <c r="I49" s="13"/>
    </row>
    <row r="50" spans="3:9" ht="42" customHeight="1">
      <c r="C50" s="269" t="str">
        <f>'Данни на фирмата'!A6</f>
        <v>Управител:</v>
      </c>
      <c r="D50" s="15"/>
      <c r="E50" s="15"/>
      <c r="F50" s="15"/>
      <c r="G50" s="15"/>
      <c r="H50" s="15"/>
      <c r="I50" s="15"/>
    </row>
    <row r="51" spans="3:9" ht="15.75" customHeight="1">
      <c r="C51" s="6" t="str">
        <f>predstavliavasht</f>
        <v>инж.Тодор  Райчев Марков</v>
      </c>
      <c r="D51" s="15"/>
      <c r="E51" s="15"/>
      <c r="F51" s="111"/>
      <c r="G51" s="111"/>
      <c r="H51" s="111"/>
      <c r="I51" s="111"/>
    </row>
    <row r="52" spans="3:9" ht="21.75" customHeight="1">
      <c r="C52" s="14"/>
      <c r="D52" s="269"/>
      <c r="E52" s="15"/>
      <c r="F52" s="269"/>
      <c r="G52" s="269"/>
      <c r="H52" s="269"/>
      <c r="I52" s="15"/>
    </row>
    <row r="53" spans="3:9" ht="27" customHeight="1">
      <c r="C53" s="7" t="str">
        <f>'Данни на фирмата'!A7</f>
        <v>Главен счетоводител/Съставител :</v>
      </c>
      <c r="D53" s="269"/>
      <c r="E53" s="269"/>
      <c r="F53" s="269"/>
      <c r="G53" s="269"/>
      <c r="H53" s="269"/>
      <c r="I53" s="269"/>
    </row>
    <row r="54" spans="3:9" ht="12.75">
      <c r="C54" s="7" t="str">
        <f>sustavitel</f>
        <v> Снежана  Петрова  Маркова</v>
      </c>
      <c r="D54" s="269"/>
      <c r="E54" s="269"/>
      <c r="F54" s="269"/>
      <c r="G54" s="269"/>
      <c r="H54" s="269"/>
      <c r="I54" s="269"/>
    </row>
    <row r="57" ht="12.75">
      <c r="D57" s="36"/>
    </row>
    <row r="58" ht="12.75">
      <c r="C58" s="41" t="s">
        <v>213</v>
      </c>
    </row>
    <row r="59" ht="12.75">
      <c r="C59" s="41" t="s">
        <v>142</v>
      </c>
    </row>
    <row r="60" ht="12.75">
      <c r="C60" s="41" t="s">
        <v>143</v>
      </c>
    </row>
  </sheetData>
  <sheetProtection sheet="1" deleteRows="0"/>
  <mergeCells count="14">
    <mergeCell ref="N24:O24"/>
    <mergeCell ref="E8:E9"/>
    <mergeCell ref="C7:C9"/>
    <mergeCell ref="D8:D9"/>
    <mergeCell ref="K8:K9"/>
    <mergeCell ref="J8:J9"/>
    <mergeCell ref="D7:E7"/>
    <mergeCell ref="I7:I9"/>
    <mergeCell ref="C1:K1"/>
    <mergeCell ref="C2:K2"/>
    <mergeCell ref="C3:K3"/>
    <mergeCell ref="C4:K4"/>
    <mergeCell ref="C5:K5"/>
    <mergeCell ref="J7:K7"/>
  </mergeCells>
  <dataValidations count="2">
    <dataValidation errorStyle="information" type="whole" allowBlank="1" showInputMessage="1" showErrorMessage="1" errorTitle="ВНИМАНИЕ" error="УВЕРЕТЕ СЕ ЧЕ ПРАВИЛНО Е ВЪВЕДЕН КОРП ДАНЪК" sqref="D40:E40">
      <formula1>D39*0.08</formula1>
      <formula2>D39*0.12</formula2>
    </dataValidation>
    <dataValidation type="whole" operator="greaterThanOrEqual" allowBlank="1" showInputMessage="1" showErrorMessage="1" sqref="D42:E43 J12:K43 D12:E39">
      <formula1>0</formula1>
    </dataValidation>
  </dataValidations>
  <hyperlinks>
    <hyperlink ref="C1" location="Съдържание!A1" display="Обратно към Съдържание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  <hyperlink ref="I1" location="Съдържание!A1" display="#Съдържание.A1"/>
    <hyperlink ref="J1" location="Съдържание!A1" display="#Съдържание.A1"/>
    <hyperlink ref="D25" location="ОПР!J26" display="ОПР!J26"/>
    <hyperlink ref="E25" location="ОПР!K26" display="ОПР!K26"/>
  </hyperlinks>
  <printOptions horizontalCentered="1"/>
  <pageMargins left="0.25" right="0.25" top="0.75" bottom="0.75" header="0.3" footer="0.3"/>
  <pageSetup horizontalDpi="600" verticalDpi="600" orientation="portrait" paperSize="9" scale="60" r:id="rId4"/>
  <colBreaks count="1" manualBreakCount="1">
    <brk id="11" max="65535" man="1"/>
  </colBreaks>
  <ignoredErrors>
    <ignoredError sqref="C43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>
    <tabColor rgb="FF002060"/>
  </sheetPr>
  <dimension ref="A1:L64"/>
  <sheetViews>
    <sheetView zoomScale="85" zoomScaleNormal="85" zoomScalePageLayoutView="0" workbookViewId="0" topLeftCell="A38">
      <selection activeCell="D11" sqref="D11"/>
    </sheetView>
  </sheetViews>
  <sheetFormatPr defaultColWidth="9.140625" defaultRowHeight="12.75"/>
  <cols>
    <col min="1" max="1" width="2.8515625" style="9" customWidth="1"/>
    <col min="2" max="2" width="3.421875" style="9" hidden="1" customWidth="1"/>
    <col min="3" max="3" width="53.00390625" style="9" customWidth="1"/>
    <col min="4" max="9" width="16.28125" style="9" customWidth="1"/>
    <col min="10" max="16384" width="9.140625" style="9" customWidth="1"/>
  </cols>
  <sheetData>
    <row r="1" spans="1:3" ht="12.75">
      <c r="A1" s="654" t="s">
        <v>2</v>
      </c>
      <c r="B1" s="654"/>
      <c r="C1" s="654"/>
    </row>
    <row r="2" spans="1:12" ht="19.5">
      <c r="A2" s="634" t="s">
        <v>3</v>
      </c>
      <c r="B2" s="634"/>
      <c r="C2" s="634"/>
      <c r="D2" s="634"/>
      <c r="E2" s="634"/>
      <c r="F2" s="634"/>
      <c r="G2" s="634"/>
      <c r="H2" s="634"/>
      <c r="I2" s="634"/>
      <c r="L2" s="238"/>
    </row>
    <row r="3" spans="1:9" ht="19.5">
      <c r="A3" s="634" t="s">
        <v>145</v>
      </c>
      <c r="B3" s="634"/>
      <c r="C3" s="634"/>
      <c r="D3" s="634"/>
      <c r="E3" s="634"/>
      <c r="F3" s="634"/>
      <c r="G3" s="634"/>
      <c r="H3" s="634"/>
      <c r="I3" s="634"/>
    </row>
    <row r="4" spans="1:9" ht="19.5">
      <c r="A4" s="634" t="str">
        <f>ime_firma</f>
        <v>ВОДОСНАБДЯВАНЕ И КАНАЛИЗАЦИЯ ЕООД</v>
      </c>
      <c r="B4" s="634"/>
      <c r="C4" s="634"/>
      <c r="D4" s="634"/>
      <c r="E4" s="634"/>
      <c r="F4" s="634"/>
      <c r="G4" s="634"/>
      <c r="H4" s="634"/>
      <c r="I4" s="634"/>
    </row>
    <row r="5" spans="1:9" ht="19.5">
      <c r="A5" s="634" t="str">
        <f>CONCATENATE("за ",TEXT(data_na_otcheta,"yyyy г."))</f>
        <v>за 2019 г.</v>
      </c>
      <c r="B5" s="634"/>
      <c r="C5" s="634"/>
      <c r="D5" s="634"/>
      <c r="E5" s="634"/>
      <c r="F5" s="634"/>
      <c r="G5" s="634"/>
      <c r="H5" s="634"/>
      <c r="I5" s="634"/>
    </row>
    <row r="6" spans="1:9" ht="12.75">
      <c r="A6" s="239"/>
      <c r="B6" s="239"/>
      <c r="C6" s="239"/>
      <c r="D6" s="239"/>
      <c r="E6" s="239"/>
      <c r="F6" s="239"/>
      <c r="G6" s="239"/>
      <c r="H6" s="239"/>
      <c r="I6" s="240"/>
    </row>
    <row r="7" spans="1:9" ht="14.25">
      <c r="A7" s="656" t="s">
        <v>4</v>
      </c>
      <c r="B7" s="657"/>
      <c r="C7" s="648"/>
      <c r="D7" s="655" t="s">
        <v>5</v>
      </c>
      <c r="E7" s="655"/>
      <c r="F7" s="655"/>
      <c r="G7" s="655" t="s">
        <v>6</v>
      </c>
      <c r="H7" s="655"/>
      <c r="I7" s="655"/>
    </row>
    <row r="8" spans="1:9" ht="15">
      <c r="A8" s="658"/>
      <c r="B8" s="659"/>
      <c r="C8" s="660"/>
      <c r="D8" s="280" t="s">
        <v>7</v>
      </c>
      <c r="E8" s="280" t="s">
        <v>8</v>
      </c>
      <c r="F8" s="280" t="s">
        <v>9</v>
      </c>
      <c r="G8" s="280" t="s">
        <v>7</v>
      </c>
      <c r="H8" s="280" t="s">
        <v>8</v>
      </c>
      <c r="I8" s="280" t="s">
        <v>9</v>
      </c>
    </row>
    <row r="9" spans="1:9" ht="13.5" thickBot="1">
      <c r="A9" s="653" t="s">
        <v>10</v>
      </c>
      <c r="B9" s="653"/>
      <c r="C9" s="653"/>
      <c r="D9" s="281">
        <v>1</v>
      </c>
      <c r="E9" s="281">
        <v>2</v>
      </c>
      <c r="F9" s="281">
        <v>3</v>
      </c>
      <c r="G9" s="281">
        <v>4</v>
      </c>
      <c r="H9" s="281">
        <v>5</v>
      </c>
      <c r="I9" s="281">
        <v>6</v>
      </c>
    </row>
    <row r="10" spans="1:9" ht="15" thickTop="1">
      <c r="A10" s="241" t="s">
        <v>11</v>
      </c>
      <c r="B10" s="241"/>
      <c r="C10" s="242" t="s">
        <v>12</v>
      </c>
      <c r="D10" s="351"/>
      <c r="E10" s="351"/>
      <c r="F10" s="351"/>
      <c r="G10" s="351"/>
      <c r="H10" s="351"/>
      <c r="I10" s="351"/>
    </row>
    <row r="11" spans="1:9" ht="15">
      <c r="A11" s="68">
        <f>IF(B11="","",COUNT(B11))</f>
        <v>1</v>
      </c>
      <c r="B11" s="61">
        <f>IF(F11+I11=0,"",1)</f>
        <v>1</v>
      </c>
      <c r="C11" s="146" t="s">
        <v>13</v>
      </c>
      <c r="D11" s="147">
        <v>16940</v>
      </c>
      <c r="E11" s="147">
        <v>8629</v>
      </c>
      <c r="F11" s="352">
        <f>D11-E11</f>
        <v>8311</v>
      </c>
      <c r="G11" s="147">
        <v>15828</v>
      </c>
      <c r="H11" s="147">
        <v>7895</v>
      </c>
      <c r="I11" s="352">
        <f>G11-H11</f>
        <v>7933</v>
      </c>
    </row>
    <row r="12" spans="1:9" ht="25.5">
      <c r="A12" s="69">
        <f>IF(B12="","",COUNT(B$11:B12))</f>
      </c>
      <c r="B12" s="243">
        <f>IF(F12+I12=0,"",1)</f>
      </c>
      <c r="C12" s="146" t="s">
        <v>102</v>
      </c>
      <c r="D12" s="147"/>
      <c r="E12" s="147"/>
      <c r="F12" s="352">
        <f aca="true" t="shared" si="0" ref="F12:F22">D12-E12</f>
        <v>0</v>
      </c>
      <c r="G12" s="147"/>
      <c r="H12" s="147"/>
      <c r="I12" s="352">
        <f aca="true" t="shared" si="1" ref="I12:I22">G12-H12</f>
        <v>0</v>
      </c>
    </row>
    <row r="13" spans="1:9" ht="12.75" hidden="1">
      <c r="A13" s="17"/>
      <c r="B13" s="243">
        <f aca="true" t="shared" si="2" ref="B13:B22">IF(F13+I13=0,"",1)</f>
      </c>
      <c r="C13" s="146"/>
      <c r="D13" s="147"/>
      <c r="E13" s="147"/>
      <c r="F13" s="352"/>
      <c r="G13" s="147"/>
      <c r="H13" s="147"/>
      <c r="I13" s="352"/>
    </row>
    <row r="14" spans="1:9" ht="12.75">
      <c r="A14" s="69">
        <f>IF(B14="","",COUNT(B$11:B14))</f>
        <v>2</v>
      </c>
      <c r="B14" s="243">
        <f t="shared" si="2"/>
        <v>1</v>
      </c>
      <c r="C14" s="146" t="s">
        <v>14</v>
      </c>
      <c r="D14" s="147">
        <v>0</v>
      </c>
      <c r="E14" s="147">
        <v>6276</v>
      </c>
      <c r="F14" s="352">
        <f t="shared" si="0"/>
        <v>-6276</v>
      </c>
      <c r="G14" s="147">
        <v>6</v>
      </c>
      <c r="H14" s="147">
        <v>5626</v>
      </c>
      <c r="I14" s="352">
        <f t="shared" si="1"/>
        <v>-5620</v>
      </c>
    </row>
    <row r="15" spans="1:9" ht="12.75">
      <c r="A15" s="69">
        <v>3</v>
      </c>
      <c r="B15" s="243"/>
      <c r="C15" s="146" t="s">
        <v>336</v>
      </c>
      <c r="D15" s="147"/>
      <c r="E15" s="147">
        <v>1172</v>
      </c>
      <c r="F15" s="352">
        <f t="shared" si="0"/>
        <v>-1172</v>
      </c>
      <c r="G15" s="147"/>
      <c r="H15" s="147">
        <v>1404</v>
      </c>
      <c r="I15" s="352">
        <f t="shared" si="1"/>
        <v>-1404</v>
      </c>
    </row>
    <row r="16" spans="1:9" ht="25.5">
      <c r="A16" s="69">
        <f>IF(B16="","",COUNT(B$11:B16))</f>
      </c>
      <c r="B16" s="244">
        <f t="shared" si="2"/>
      </c>
      <c r="C16" s="146" t="s">
        <v>103</v>
      </c>
      <c r="D16" s="147">
        <v>0</v>
      </c>
      <c r="E16" s="147"/>
      <c r="F16" s="352">
        <f t="shared" si="0"/>
        <v>0</v>
      </c>
      <c r="G16" s="147"/>
      <c r="H16" s="147">
        <v>0</v>
      </c>
      <c r="I16" s="352">
        <f t="shared" si="1"/>
        <v>0</v>
      </c>
    </row>
    <row r="17" spans="1:9" ht="12.75" customHeight="1" hidden="1">
      <c r="A17" s="69">
        <f>IF(B17="","",COUNT(B$11:B17))</f>
      </c>
      <c r="B17" s="244">
        <f t="shared" si="2"/>
      </c>
      <c r="C17" s="146"/>
      <c r="D17" s="147"/>
      <c r="E17" s="147"/>
      <c r="F17" s="352"/>
      <c r="G17" s="147"/>
      <c r="H17" s="147"/>
      <c r="I17" s="352"/>
    </row>
    <row r="18" spans="1:9" ht="25.5">
      <c r="A18" s="69">
        <f>IF(B18="","",COUNT(B$11:B18))</f>
      </c>
      <c r="B18" s="244">
        <f t="shared" si="2"/>
      </c>
      <c r="C18" s="146" t="s">
        <v>104</v>
      </c>
      <c r="D18" s="147"/>
      <c r="E18" s="147">
        <v>0</v>
      </c>
      <c r="F18" s="352">
        <f t="shared" si="0"/>
        <v>0</v>
      </c>
      <c r="G18" s="147">
        <v>0</v>
      </c>
      <c r="H18" s="147"/>
      <c r="I18" s="352">
        <f t="shared" si="1"/>
        <v>0</v>
      </c>
    </row>
    <row r="19" spans="1:9" ht="12.75" hidden="1">
      <c r="A19" s="69">
        <f>IF(B19="","",COUNT(B$11:B19))</f>
      </c>
      <c r="B19" s="244">
        <f t="shared" si="2"/>
      </c>
      <c r="C19" s="146"/>
      <c r="D19" s="147"/>
      <c r="E19" s="147"/>
      <c r="F19" s="352"/>
      <c r="G19" s="147"/>
      <c r="H19" s="147"/>
      <c r="I19" s="352"/>
    </row>
    <row r="20" spans="1:9" ht="12.75">
      <c r="A20" s="69">
        <f>IF(B20="","",COUNT(B$11:B20))</f>
        <v>3</v>
      </c>
      <c r="B20" s="244">
        <f t="shared" si="2"/>
        <v>1</v>
      </c>
      <c r="C20" s="146" t="s">
        <v>15</v>
      </c>
      <c r="D20" s="147"/>
      <c r="E20" s="147">
        <v>2</v>
      </c>
      <c r="F20" s="352">
        <f t="shared" si="0"/>
        <v>-2</v>
      </c>
      <c r="G20" s="147"/>
      <c r="H20" s="147">
        <v>8</v>
      </c>
      <c r="I20" s="352">
        <f t="shared" si="1"/>
        <v>-8</v>
      </c>
    </row>
    <row r="21" spans="1:9" ht="12.75">
      <c r="A21" s="69">
        <f>IF(B21="","",COUNT(B$11:B21))</f>
      </c>
      <c r="B21" s="244">
        <f t="shared" si="2"/>
      </c>
      <c r="C21" s="146" t="s">
        <v>16</v>
      </c>
      <c r="D21" s="147"/>
      <c r="E21" s="147"/>
      <c r="F21" s="352">
        <f t="shared" si="0"/>
        <v>0</v>
      </c>
      <c r="G21" s="147"/>
      <c r="H21" s="147"/>
      <c r="I21" s="352">
        <f t="shared" si="1"/>
        <v>0</v>
      </c>
    </row>
    <row r="22" spans="1:9" ht="12.75">
      <c r="A22" s="69">
        <f>IF(B22="","",COUNT(B$11:B22))</f>
        <v>4</v>
      </c>
      <c r="B22" s="244">
        <f t="shared" si="2"/>
        <v>1</v>
      </c>
      <c r="C22" s="146" t="s">
        <v>17</v>
      </c>
      <c r="D22" s="147"/>
      <c r="E22" s="147">
        <v>1327</v>
      </c>
      <c r="F22" s="352">
        <f t="shared" si="0"/>
        <v>-1327</v>
      </c>
      <c r="G22" s="147">
        <v>0</v>
      </c>
      <c r="H22" s="147">
        <v>31</v>
      </c>
      <c r="I22" s="352">
        <f t="shared" si="1"/>
        <v>-31</v>
      </c>
    </row>
    <row r="23" spans="1:9" s="248" customFormat="1" ht="15">
      <c r="A23" s="245" t="s">
        <v>229</v>
      </c>
      <c r="B23" s="246"/>
      <c r="C23" s="247" t="s">
        <v>18</v>
      </c>
      <c r="D23" s="353">
        <f aca="true" t="shared" si="3" ref="D23:I23">SUM(D11:D22)</f>
        <v>16940</v>
      </c>
      <c r="E23" s="353">
        <f t="shared" si="3"/>
        <v>17406</v>
      </c>
      <c r="F23" s="353">
        <f t="shared" si="3"/>
        <v>-466</v>
      </c>
      <c r="G23" s="353">
        <f t="shared" si="3"/>
        <v>15834</v>
      </c>
      <c r="H23" s="353">
        <f t="shared" si="3"/>
        <v>14964</v>
      </c>
      <c r="I23" s="353">
        <f t="shared" si="3"/>
        <v>870</v>
      </c>
    </row>
    <row r="24" spans="1:9" ht="14.25">
      <c r="A24" s="249" t="s">
        <v>19</v>
      </c>
      <c r="B24" s="249"/>
      <c r="C24" s="250" t="s">
        <v>20</v>
      </c>
      <c r="D24" s="354"/>
      <c r="E24" s="354"/>
      <c r="F24" s="352"/>
      <c r="G24" s="354"/>
      <c r="H24" s="354"/>
      <c r="I24" s="352"/>
    </row>
    <row r="25" spans="1:9" ht="14.25">
      <c r="A25" s="68">
        <f>IF(B25="","",COUNT(B25))</f>
        <v>1</v>
      </c>
      <c r="B25" s="244">
        <f aca="true" t="shared" si="4" ref="B25:B33">IF(F25+I25=0,"",1)</f>
        <v>1</v>
      </c>
      <c r="C25" s="146" t="s">
        <v>21</v>
      </c>
      <c r="D25" s="147"/>
      <c r="E25" s="147">
        <v>63</v>
      </c>
      <c r="F25" s="352">
        <f aca="true" t="shared" si="5" ref="F25:F33">D25-E25</f>
        <v>-63</v>
      </c>
      <c r="G25" s="147"/>
      <c r="H25" s="147">
        <v>50</v>
      </c>
      <c r="I25" s="352">
        <f aca="true" t="shared" si="6" ref="I25:I33">G25-H25</f>
        <v>-50</v>
      </c>
    </row>
    <row r="26" spans="1:9" ht="14.25" customHeight="1">
      <c r="A26" s="69">
        <f>IF(B26="","",COUNT(B$25:B26))</f>
      </c>
      <c r="B26" s="244">
        <f t="shared" si="4"/>
      </c>
      <c r="C26" s="146" t="s">
        <v>105</v>
      </c>
      <c r="D26" s="147"/>
      <c r="E26" s="147"/>
      <c r="F26" s="352">
        <f t="shared" si="5"/>
        <v>0</v>
      </c>
      <c r="G26" s="147"/>
      <c r="H26" s="147"/>
      <c r="I26" s="352">
        <f t="shared" si="6"/>
        <v>0</v>
      </c>
    </row>
    <row r="27" spans="1:9" ht="12.75" hidden="1">
      <c r="A27" s="69">
        <f>IF(B27="","",COUNT(B$25:B27))</f>
      </c>
      <c r="B27" s="244">
        <f t="shared" si="4"/>
      </c>
      <c r="C27" s="146"/>
      <c r="D27" s="147"/>
      <c r="E27" s="147"/>
      <c r="F27" s="352"/>
      <c r="G27" s="147"/>
      <c r="H27" s="147"/>
      <c r="I27" s="352"/>
    </row>
    <row r="28" spans="1:9" ht="25.5">
      <c r="A28" s="69">
        <f>IF(B28="","",COUNT(B$25:B28))</f>
      </c>
      <c r="B28" s="244">
        <f t="shared" si="4"/>
      </c>
      <c r="C28" s="146" t="s">
        <v>103</v>
      </c>
      <c r="D28" s="147"/>
      <c r="E28" s="147"/>
      <c r="F28" s="352">
        <f t="shared" si="5"/>
        <v>0</v>
      </c>
      <c r="G28" s="147"/>
      <c r="H28" s="147"/>
      <c r="I28" s="352">
        <f t="shared" si="6"/>
        <v>0</v>
      </c>
    </row>
    <row r="29" spans="1:9" ht="12.75" hidden="1">
      <c r="A29" s="69">
        <f>IF(B29="","",COUNT(B$25:B29))</f>
      </c>
      <c r="B29" s="244">
        <f t="shared" si="4"/>
      </c>
      <c r="C29" s="146"/>
      <c r="D29" s="147"/>
      <c r="E29" s="147"/>
      <c r="F29" s="352"/>
      <c r="G29" s="147"/>
      <c r="H29" s="147"/>
      <c r="I29" s="352"/>
    </row>
    <row r="30" spans="1:9" ht="12.75">
      <c r="A30" s="69">
        <f>IF(B30="","",COUNT(B$25:B30))</f>
      </c>
      <c r="B30" s="244">
        <f t="shared" si="4"/>
      </c>
      <c r="C30" s="146" t="s">
        <v>22</v>
      </c>
      <c r="D30" s="147"/>
      <c r="E30" s="147"/>
      <c r="F30" s="352">
        <f t="shared" si="5"/>
        <v>0</v>
      </c>
      <c r="G30" s="147"/>
      <c r="H30" s="147"/>
      <c r="I30" s="352">
        <f t="shared" si="6"/>
        <v>0</v>
      </c>
    </row>
    <row r="31" spans="1:9" ht="25.5">
      <c r="A31" s="69">
        <f>IF(B31="","",COUNT(B$25:B31))</f>
      </c>
      <c r="B31" s="244">
        <f t="shared" si="4"/>
      </c>
      <c r="C31" s="146" t="s">
        <v>104</v>
      </c>
      <c r="D31" s="147"/>
      <c r="E31" s="147"/>
      <c r="F31" s="352">
        <f t="shared" si="5"/>
        <v>0</v>
      </c>
      <c r="G31" s="147"/>
      <c r="H31" s="147"/>
      <c r="I31" s="352">
        <f t="shared" si="6"/>
        <v>0</v>
      </c>
    </row>
    <row r="32" spans="1:9" ht="12.75" hidden="1">
      <c r="A32" s="69">
        <f>IF(B32="","",COUNT(B$25:B32))</f>
      </c>
      <c r="B32" s="244">
        <f t="shared" si="4"/>
      </c>
      <c r="C32" s="146"/>
      <c r="D32" s="147"/>
      <c r="E32" s="147"/>
      <c r="F32" s="352"/>
      <c r="G32" s="147"/>
      <c r="H32" s="147"/>
      <c r="I32" s="352"/>
    </row>
    <row r="33" spans="1:9" ht="12.75">
      <c r="A33" s="69">
        <f>IF(B33="","",COUNT(B$25:B33))</f>
        <v>2</v>
      </c>
      <c r="B33" s="244">
        <f t="shared" si="4"/>
        <v>1</v>
      </c>
      <c r="C33" s="146" t="s">
        <v>23</v>
      </c>
      <c r="D33" s="147"/>
      <c r="E33" s="147">
        <v>485</v>
      </c>
      <c r="F33" s="352">
        <f t="shared" si="5"/>
        <v>-485</v>
      </c>
      <c r="G33" s="147"/>
      <c r="H33" s="147">
        <v>417</v>
      </c>
      <c r="I33" s="352">
        <f t="shared" si="6"/>
        <v>-417</v>
      </c>
    </row>
    <row r="34" spans="1:9" ht="30.75" customHeight="1">
      <c r="A34" s="251" t="s">
        <v>230</v>
      </c>
      <c r="B34" s="17"/>
      <c r="C34" s="247" t="s">
        <v>24</v>
      </c>
      <c r="D34" s="355">
        <f>SUM(D25:D33)</f>
        <v>0</v>
      </c>
      <c r="E34" s="355">
        <f>SUM(E25:E33)</f>
        <v>548</v>
      </c>
      <c r="F34" s="355">
        <f>SUM(F25:F33)</f>
        <v>-548</v>
      </c>
      <c r="G34" s="355">
        <f>SUM(G25:G33)</f>
        <v>0</v>
      </c>
      <c r="H34" s="355">
        <f>SUM(H25:H33)</f>
        <v>467</v>
      </c>
      <c r="I34" s="355">
        <f>SUM(I24:I33)</f>
        <v>-467</v>
      </c>
    </row>
    <row r="35" spans="1:9" ht="14.25">
      <c r="A35" s="249" t="s">
        <v>25</v>
      </c>
      <c r="B35" s="249"/>
      <c r="C35" s="250" t="s">
        <v>26</v>
      </c>
      <c r="D35" s="354"/>
      <c r="E35" s="354"/>
      <c r="F35" s="352">
        <f aca="true" t="shared" si="7" ref="F35:F47">D35-E35</f>
        <v>0</v>
      </c>
      <c r="G35" s="354"/>
      <c r="H35" s="354"/>
      <c r="I35" s="352">
        <f aca="true" t="shared" si="8" ref="I35:I47">G35-H35</f>
        <v>0</v>
      </c>
    </row>
    <row r="36" spans="1:9" ht="25.5">
      <c r="A36" s="68">
        <f>IF(B36="","",COUNT(B36))</f>
      </c>
      <c r="B36" s="244">
        <f aca="true" t="shared" si="9" ref="B36:B47">IF(F36+I36=0,"",1)</f>
      </c>
      <c r="C36" s="146" t="s">
        <v>106</v>
      </c>
      <c r="D36" s="147"/>
      <c r="E36" s="147"/>
      <c r="F36" s="352">
        <f t="shared" si="7"/>
        <v>0</v>
      </c>
      <c r="G36" s="147"/>
      <c r="H36" s="147"/>
      <c r="I36" s="352">
        <f t="shared" si="8"/>
        <v>0</v>
      </c>
    </row>
    <row r="37" spans="1:9" ht="12.75" hidden="1">
      <c r="A37" s="17"/>
      <c r="B37" s="244">
        <f t="shared" si="9"/>
      </c>
      <c r="C37" s="146"/>
      <c r="D37" s="147"/>
      <c r="E37" s="147"/>
      <c r="F37" s="352"/>
      <c r="G37" s="147"/>
      <c r="H37" s="147"/>
      <c r="I37" s="352"/>
    </row>
    <row r="38" spans="1:9" ht="25.5">
      <c r="A38" s="69">
        <f>IF(B38="","",COUNT(B$36:B38))</f>
      </c>
      <c r="B38" s="244">
        <f t="shared" si="9"/>
      </c>
      <c r="C38" s="146" t="s">
        <v>107</v>
      </c>
      <c r="D38" s="147"/>
      <c r="E38" s="147"/>
      <c r="F38" s="352">
        <f t="shared" si="7"/>
        <v>0</v>
      </c>
      <c r="G38" s="147"/>
      <c r="H38" s="147"/>
      <c r="I38" s="352">
        <f t="shared" si="8"/>
        <v>0</v>
      </c>
    </row>
    <row r="39" spans="1:9" ht="12.75" hidden="1">
      <c r="A39" s="69">
        <f>IF(B39="","",COUNT(B$36:B39))</f>
      </c>
      <c r="B39" s="244">
        <f t="shared" si="9"/>
      </c>
      <c r="C39" s="146"/>
      <c r="D39" s="147"/>
      <c r="E39" s="147"/>
      <c r="F39" s="352"/>
      <c r="G39" s="147"/>
      <c r="H39" s="147"/>
      <c r="I39" s="352"/>
    </row>
    <row r="40" spans="1:9" ht="17.25" customHeight="1">
      <c r="A40" s="69">
        <f>IF(B40="","",COUNT(B$36:B40))</f>
        <v>1</v>
      </c>
      <c r="B40" s="244">
        <f t="shared" si="9"/>
        <v>1</v>
      </c>
      <c r="C40" s="146" t="s">
        <v>108</v>
      </c>
      <c r="D40" s="147">
        <v>2244</v>
      </c>
      <c r="E40" s="147">
        <v>915</v>
      </c>
      <c r="F40" s="352">
        <f t="shared" si="7"/>
        <v>1329</v>
      </c>
      <c r="G40" s="147"/>
      <c r="H40" s="147">
        <v>859</v>
      </c>
      <c r="I40" s="352">
        <f t="shared" si="8"/>
        <v>-859</v>
      </c>
    </row>
    <row r="41" spans="1:9" ht="12.75" hidden="1">
      <c r="A41" s="69">
        <f>IF(B41="","",COUNT(B$36:B41))</f>
      </c>
      <c r="B41" s="244">
        <f t="shared" si="9"/>
      </c>
      <c r="C41" s="146"/>
      <c r="D41" s="147"/>
      <c r="E41" s="147"/>
      <c r="F41" s="352"/>
      <c r="G41" s="147"/>
      <c r="H41" s="147"/>
      <c r="I41" s="352"/>
    </row>
    <row r="42" spans="1:9" ht="23.25" customHeight="1">
      <c r="A42" s="69">
        <f>IF(B42="","",COUNT(B$36:B42))</f>
        <v>2</v>
      </c>
      <c r="B42" s="244">
        <f t="shared" si="9"/>
        <v>1</v>
      </c>
      <c r="C42" s="146" t="s">
        <v>109</v>
      </c>
      <c r="D42" s="147"/>
      <c r="E42" s="147">
        <v>73</v>
      </c>
      <c r="F42" s="352">
        <f t="shared" si="7"/>
        <v>-73</v>
      </c>
      <c r="G42" s="147">
        <v>0</v>
      </c>
      <c r="H42" s="147">
        <v>75</v>
      </c>
      <c r="I42" s="352">
        <f t="shared" si="8"/>
        <v>-75</v>
      </c>
    </row>
    <row r="43" spans="1:9" ht="12.75" hidden="1">
      <c r="A43" s="69">
        <f>IF(B43="","",COUNT(B$36:B43))</f>
      </c>
      <c r="B43" s="244">
        <f t="shared" si="9"/>
      </c>
      <c r="C43" s="146"/>
      <c r="D43" s="147"/>
      <c r="E43" s="147"/>
      <c r="F43" s="352"/>
      <c r="G43" s="147"/>
      <c r="H43" s="147"/>
      <c r="I43" s="352"/>
    </row>
    <row r="44" spans="1:9" ht="12.75">
      <c r="A44" s="69">
        <f>IF(B44="","",COUNT(B$36:B44))</f>
      </c>
      <c r="B44" s="244">
        <f t="shared" si="9"/>
      </c>
      <c r="C44" s="146" t="s">
        <v>27</v>
      </c>
      <c r="D44" s="147"/>
      <c r="E44" s="147"/>
      <c r="F44" s="352">
        <f t="shared" si="7"/>
        <v>0</v>
      </c>
      <c r="G44" s="147"/>
      <c r="H44" s="147">
        <v>0</v>
      </c>
      <c r="I44" s="352">
        <f t="shared" si="8"/>
        <v>0</v>
      </c>
    </row>
    <row r="45" spans="1:9" ht="25.5">
      <c r="A45" s="69">
        <f>IF(B45="","",COUNT(B$36:B45))</f>
      </c>
      <c r="B45" s="244">
        <f t="shared" si="9"/>
      </c>
      <c r="C45" s="146" t="s">
        <v>104</v>
      </c>
      <c r="D45" s="147"/>
      <c r="E45" s="147"/>
      <c r="F45" s="352">
        <f t="shared" si="7"/>
        <v>0</v>
      </c>
      <c r="G45" s="147"/>
      <c r="H45" s="147"/>
      <c r="I45" s="352">
        <f t="shared" si="8"/>
        <v>0</v>
      </c>
    </row>
    <row r="46" spans="1:9" ht="12.75" hidden="1">
      <c r="A46" s="69">
        <f>IF(B46="","",COUNT(B$36:B46))</f>
      </c>
      <c r="B46" s="244">
        <f t="shared" si="9"/>
      </c>
      <c r="C46" s="146"/>
      <c r="D46" s="147"/>
      <c r="E46" s="147"/>
      <c r="F46" s="352"/>
      <c r="G46" s="147"/>
      <c r="H46" s="147"/>
      <c r="I46" s="352"/>
    </row>
    <row r="47" spans="1:9" ht="12.75">
      <c r="A47" s="69">
        <f>IF(B47="","",COUNT(B$36:B47))</f>
      </c>
      <c r="B47" s="244">
        <f t="shared" si="9"/>
      </c>
      <c r="C47" s="146" t="s">
        <v>28</v>
      </c>
      <c r="D47" s="147"/>
      <c r="E47" s="147"/>
      <c r="F47" s="352">
        <f t="shared" si="7"/>
        <v>0</v>
      </c>
      <c r="G47" s="147"/>
      <c r="H47" s="147"/>
      <c r="I47" s="352">
        <f t="shared" si="8"/>
        <v>0</v>
      </c>
    </row>
    <row r="48" spans="1:9" ht="13.5" customHeight="1">
      <c r="A48" s="251" t="s">
        <v>230</v>
      </c>
      <c r="B48" s="17"/>
      <c r="C48" s="247" t="s">
        <v>29</v>
      </c>
      <c r="D48" s="355">
        <f>SUM(D36:D47)</f>
        <v>2244</v>
      </c>
      <c r="E48" s="355">
        <f>SUM(E36:E47)</f>
        <v>988</v>
      </c>
      <c r="F48" s="355">
        <f>SUM(F36:F47)</f>
        <v>1256</v>
      </c>
      <c r="G48" s="355">
        <f>SUM(G36:G47)</f>
        <v>0</v>
      </c>
      <c r="H48" s="355">
        <f>SUM(H36:H47)</f>
        <v>934</v>
      </c>
      <c r="I48" s="355">
        <f>SUM(I35:I47)</f>
        <v>-934</v>
      </c>
    </row>
    <row r="49" spans="1:10" ht="12.75">
      <c r="A49" s="249" t="s">
        <v>30</v>
      </c>
      <c r="B49" s="249"/>
      <c r="C49" s="146" t="s">
        <v>31</v>
      </c>
      <c r="D49" s="355">
        <f aca="true" t="shared" si="10" ref="D49:I49">D23+D34+D48</f>
        <v>19184</v>
      </c>
      <c r="E49" s="355">
        <f t="shared" si="10"/>
        <v>18942</v>
      </c>
      <c r="F49" s="355">
        <f t="shared" si="10"/>
        <v>242</v>
      </c>
      <c r="G49" s="355">
        <f t="shared" si="10"/>
        <v>15834</v>
      </c>
      <c r="H49" s="355">
        <f t="shared" si="10"/>
        <v>16365</v>
      </c>
      <c r="I49" s="355">
        <f t="shared" si="10"/>
        <v>-531</v>
      </c>
      <c r="J49" s="198"/>
    </row>
    <row r="50" spans="1:10" ht="12.75">
      <c r="A50" s="249" t="s">
        <v>32</v>
      </c>
      <c r="B50" s="249"/>
      <c r="C50" s="146" t="s">
        <v>33</v>
      </c>
      <c r="D50" s="354"/>
      <c r="E50" s="354"/>
      <c r="F50" s="355">
        <f>+I51</f>
        <v>271</v>
      </c>
      <c r="G50" s="354"/>
      <c r="H50" s="354"/>
      <c r="I50" s="53">
        <v>802</v>
      </c>
      <c r="J50" s="252">
        <f>IF(I51=bal50_0,0,"Паричните средства от предходния период не съответстват на баланса")</f>
        <v>0</v>
      </c>
    </row>
    <row r="51" spans="1:10" ht="14.25">
      <c r="A51" s="249" t="s">
        <v>34</v>
      </c>
      <c r="B51" s="249"/>
      <c r="C51" s="250" t="s">
        <v>35</v>
      </c>
      <c r="D51" s="354"/>
      <c r="E51" s="354"/>
      <c r="F51" s="355">
        <f>F49+F50</f>
        <v>513</v>
      </c>
      <c r="G51" s="354"/>
      <c r="H51" s="354"/>
      <c r="I51" s="355">
        <f>I49+I50</f>
        <v>271</v>
      </c>
      <c r="J51" s="252">
        <f>IF(F51=bal50_1,0,"Паричните средства не съответстват на баланса")</f>
        <v>0</v>
      </c>
    </row>
    <row r="52" spans="1:10" s="239" customFormat="1" ht="12.75">
      <c r="A52" s="19"/>
      <c r="B52" s="19"/>
      <c r="C52" s="19"/>
      <c r="D52" s="19"/>
      <c r="E52" s="19"/>
      <c r="F52" s="19"/>
      <c r="G52" s="19"/>
      <c r="H52" s="19"/>
      <c r="I52" s="19"/>
      <c r="J52" s="253"/>
    </row>
    <row r="53" spans="1:10" ht="15.75">
      <c r="A53" s="661" t="str">
        <f>CONCATENATE("Дата на съставяне: ",TEXT(data_na_sustaviane,"dd.mm.yyyy"))</f>
        <v>Дата на съставяне: 16.03.2020 г.</v>
      </c>
      <c r="B53" s="661"/>
      <c r="C53" s="661"/>
      <c r="D53" s="20"/>
      <c r="E53" s="19"/>
      <c r="F53" s="19"/>
      <c r="G53" s="21"/>
      <c r="H53" s="10"/>
      <c r="I53" s="11"/>
      <c r="J53" s="11"/>
    </row>
    <row r="54" spans="1:10" ht="18.75" customHeight="1">
      <c r="A54" s="633" t="str">
        <f>CONCATENATE(grad)</f>
        <v>гр. Хасково</v>
      </c>
      <c r="B54" s="633"/>
      <c r="C54" s="633"/>
      <c r="D54" s="12"/>
      <c r="E54" s="12"/>
      <c r="F54" s="12"/>
      <c r="G54" s="12"/>
      <c r="H54" s="10"/>
      <c r="I54" s="11"/>
      <c r="J54" s="11"/>
    </row>
    <row r="55" spans="1:6" s="12" customFormat="1" ht="12.75">
      <c r="A55" s="39"/>
      <c r="B55" s="39"/>
      <c r="C55" s="39"/>
      <c r="D55" s="13"/>
      <c r="F55" s="13"/>
    </row>
    <row r="56" spans="1:6" ht="12.75">
      <c r="A56" s="633" t="str">
        <f>'Данни на фирмата'!A6</f>
        <v>Управител:</v>
      </c>
      <c r="B56" s="633"/>
      <c r="C56" s="633"/>
      <c r="D56" s="15"/>
      <c r="E56" s="15"/>
      <c r="F56" s="15"/>
    </row>
    <row r="57" spans="1:8" ht="15.75" customHeight="1">
      <c r="A57" s="661" t="str">
        <f>predstavliavasht</f>
        <v>инж.Тодор  Райчев Марков</v>
      </c>
      <c r="B57" s="661"/>
      <c r="C57" s="661"/>
      <c r="E57" s="15"/>
      <c r="F57" s="15"/>
      <c r="G57" s="15"/>
      <c r="H57" s="15"/>
    </row>
    <row r="58" spans="1:6" ht="21.75" customHeight="1">
      <c r="A58" s="40"/>
      <c r="B58" s="40"/>
      <c r="C58" s="269"/>
      <c r="D58" s="15"/>
      <c r="E58" s="269"/>
      <c r="F58" s="15"/>
    </row>
    <row r="59" spans="1:6" ht="15" customHeight="1">
      <c r="A59" s="633" t="str">
        <f>'Данни на фирмата'!A7</f>
        <v>Главен счетоводител/Съставител :</v>
      </c>
      <c r="B59" s="633"/>
      <c r="C59" s="633"/>
      <c r="D59" s="15"/>
      <c r="E59" s="15"/>
      <c r="F59" s="15"/>
    </row>
    <row r="60" spans="1:6" ht="12.75">
      <c r="A60" s="633" t="str">
        <f>sustavitel</f>
        <v> Снежана  Петрова  Маркова</v>
      </c>
      <c r="B60" s="633"/>
      <c r="C60" s="633"/>
      <c r="D60" s="15"/>
      <c r="E60" s="15"/>
      <c r="F60" s="15"/>
    </row>
    <row r="62" spans="1:2" ht="12.75">
      <c r="A62" s="41" t="s">
        <v>213</v>
      </c>
      <c r="B62" s="41"/>
    </row>
    <row r="63" spans="1:2" ht="12.75">
      <c r="A63" s="41" t="s">
        <v>142</v>
      </c>
      <c r="B63" s="41"/>
    </row>
    <row r="64" spans="1:2" ht="12.75">
      <c r="A64" s="41" t="s">
        <v>143</v>
      </c>
      <c r="B64" s="41"/>
    </row>
  </sheetData>
  <sheetProtection sheet="1" deleteRows="0"/>
  <mergeCells count="15">
    <mergeCell ref="A53:C53"/>
    <mergeCell ref="A54:C54"/>
    <mergeCell ref="A56:C56"/>
    <mergeCell ref="A57:C57"/>
    <mergeCell ref="A59:C59"/>
    <mergeCell ref="A60:C60"/>
    <mergeCell ref="A9:C9"/>
    <mergeCell ref="A1:C1"/>
    <mergeCell ref="A2:I2"/>
    <mergeCell ref="A3:I3"/>
    <mergeCell ref="A4:I4"/>
    <mergeCell ref="A5:I5"/>
    <mergeCell ref="D7:F7"/>
    <mergeCell ref="G7:I7"/>
    <mergeCell ref="A7:C8"/>
  </mergeCells>
  <dataValidations count="1">
    <dataValidation type="whole" operator="greaterThanOrEqual" allowBlank="1" showInputMessage="1" showErrorMessage="1" errorTitle="ГРЕШКА !" error="НЕДУПУСТИМА ОТРИЦАТЕЛНА СТОЙНОСТ" sqref="D11:E22 G11:H22 D25:E33 G25:H33 D36:E47 G36:H47 I50">
      <formula1>0</formula1>
    </dataValidation>
  </dataValidations>
  <hyperlinks>
    <hyperlink ref="A1" location="Съдържание!A1" display="Обратно към Съдържание"/>
  </hyperlinks>
  <printOptions horizontalCentered="1"/>
  <pageMargins left="0.7" right="0.7" top="0.75" bottom="0.75" header="0.3" footer="0.3"/>
  <pageSetup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">
    <tabColor rgb="FF002060"/>
  </sheetPr>
  <dimension ref="A1:V44"/>
  <sheetViews>
    <sheetView view="pageBreakPreview" zoomScale="85" zoomScaleNormal="85" zoomScaleSheetLayoutView="85" zoomScalePageLayoutView="0" workbookViewId="0" topLeftCell="A10">
      <selection activeCell="D13" sqref="D13"/>
    </sheetView>
  </sheetViews>
  <sheetFormatPr defaultColWidth="9.140625" defaultRowHeight="12.75"/>
  <cols>
    <col min="1" max="1" width="3.421875" style="58" customWidth="1"/>
    <col min="2" max="2" width="9.28125" style="58" hidden="1" customWidth="1"/>
    <col min="3" max="3" width="46.00390625" style="67" customWidth="1"/>
    <col min="4" max="4" width="10.57421875" style="67" customWidth="1"/>
    <col min="5" max="5" width="10.00390625" style="67" customWidth="1"/>
    <col min="6" max="6" width="13.00390625" style="67" customWidth="1"/>
    <col min="7" max="7" width="10.28125" style="67" customWidth="1"/>
    <col min="8" max="8" width="15.421875" style="67" customWidth="1"/>
    <col min="9" max="9" width="13.57421875" style="67" customWidth="1"/>
    <col min="10" max="10" width="9.57421875" style="67" customWidth="1"/>
    <col min="11" max="12" width="11.7109375" style="67" customWidth="1"/>
    <col min="13" max="13" width="9.00390625" style="67" customWidth="1"/>
    <col min="14" max="14" width="10.140625" style="67" customWidth="1"/>
    <col min="15" max="15" width="10.140625" style="67" bestFit="1" customWidth="1"/>
    <col min="16" max="16384" width="9.140625" style="67" customWidth="1"/>
  </cols>
  <sheetData>
    <row r="1" spans="3:14" ht="15">
      <c r="C1" s="254" t="s">
        <v>2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3:14" ht="15">
      <c r="C2" s="256"/>
      <c r="D2" s="257"/>
      <c r="E2" s="257"/>
      <c r="F2" s="257"/>
      <c r="G2" s="257"/>
      <c r="H2" s="257"/>
      <c r="I2" s="257"/>
      <c r="J2" s="257"/>
      <c r="K2" s="667"/>
      <c r="L2" s="667"/>
      <c r="M2" s="667"/>
      <c r="N2" s="667"/>
    </row>
    <row r="3" spans="3:14" ht="19.5">
      <c r="C3" s="634" t="s">
        <v>3</v>
      </c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3:14" ht="19.5">
      <c r="C4" s="634" t="s">
        <v>146</v>
      </c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</row>
    <row r="5" spans="3:14" ht="19.5">
      <c r="C5" s="634" t="str">
        <f>ime_firma</f>
        <v>ВОДОСНАБДЯВАНЕ И КАНАЛИЗАЦИЯ ЕООД</v>
      </c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</row>
    <row r="6" spans="3:14" ht="19.5">
      <c r="C6" s="634" t="str">
        <f>CONCATENATE("за ",TEXT(data_na_otcheta,"yyyy г."))</f>
        <v>за 2019 г.</v>
      </c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</row>
    <row r="7" spans="3:14" ht="15.75"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 t="s">
        <v>36</v>
      </c>
    </row>
    <row r="8" spans="1:14" ht="15" customHeight="1">
      <c r="A8" s="662" t="s">
        <v>37</v>
      </c>
      <c r="B8" s="662"/>
      <c r="C8" s="662"/>
      <c r="D8" s="664" t="s">
        <v>38</v>
      </c>
      <c r="E8" s="664" t="s">
        <v>39</v>
      </c>
      <c r="F8" s="664" t="s">
        <v>40</v>
      </c>
      <c r="G8" s="664" t="s">
        <v>228</v>
      </c>
      <c r="H8" s="664" t="s">
        <v>315</v>
      </c>
      <c r="I8" s="664" t="s">
        <v>44</v>
      </c>
      <c r="J8" s="664" t="s">
        <v>45</v>
      </c>
      <c r="K8" s="664" t="s">
        <v>46</v>
      </c>
      <c r="L8" s="668" t="s">
        <v>47</v>
      </c>
      <c r="M8" s="664" t="s">
        <v>42</v>
      </c>
      <c r="N8" s="664" t="s">
        <v>43</v>
      </c>
    </row>
    <row r="9" spans="1:14" ht="15" customHeight="1">
      <c r="A9" s="662"/>
      <c r="B9" s="662"/>
      <c r="C9" s="662"/>
      <c r="D9" s="665"/>
      <c r="E9" s="665"/>
      <c r="F9" s="665"/>
      <c r="G9" s="665"/>
      <c r="H9" s="665"/>
      <c r="I9" s="665"/>
      <c r="J9" s="665"/>
      <c r="K9" s="665"/>
      <c r="L9" s="669"/>
      <c r="M9" s="665"/>
      <c r="N9" s="665"/>
    </row>
    <row r="10" spans="1:14" ht="45.75" customHeight="1" thickBot="1">
      <c r="A10" s="663"/>
      <c r="B10" s="663"/>
      <c r="C10" s="663"/>
      <c r="D10" s="666"/>
      <c r="E10" s="666"/>
      <c r="F10" s="666"/>
      <c r="G10" s="666"/>
      <c r="H10" s="666"/>
      <c r="I10" s="666"/>
      <c r="J10" s="666"/>
      <c r="K10" s="666"/>
      <c r="L10" s="670"/>
      <c r="M10" s="666"/>
      <c r="N10" s="666"/>
    </row>
    <row r="11" spans="1:22" ht="15.75" thickTop="1">
      <c r="A11" s="141" t="s">
        <v>229</v>
      </c>
      <c r="B11" s="139"/>
      <c r="C11" s="140" t="s">
        <v>288</v>
      </c>
      <c r="D11" s="73">
        <f>IF(D31="","",COUNT($D31))</f>
        <v>1</v>
      </c>
      <c r="E11" s="27">
        <f>IF(E31="","",COUNT($D31:E31))</f>
      </c>
      <c r="F11" s="27">
        <f>IF(F31="","",COUNT($D31:F31))</f>
      </c>
      <c r="G11" s="27">
        <f>IF(G31="","",COUNT($D31:G31))</f>
      </c>
      <c r="H11" s="27">
        <f>IF(H31="","",COUNT($D31:H31))</f>
      </c>
      <c r="I11" s="27">
        <f>IF(I31="","",COUNT($D31:I31))</f>
      </c>
      <c r="J11" s="27">
        <f>IF(J31="","",COUNT($D31:J31))</f>
        <v>2</v>
      </c>
      <c r="K11" s="27">
        <f>IF(K31="","",COUNT($D31:K31))</f>
        <v>3</v>
      </c>
      <c r="L11" s="27">
        <f>IF(L31="","",COUNT($D31:L31))</f>
        <v>4</v>
      </c>
      <c r="M11" s="27">
        <f>IF(M31="","",COUNT($D31:M31))</f>
        <v>5</v>
      </c>
      <c r="N11" s="27">
        <f>IF(N31="","",COUNT($D31:N31))</f>
        <v>6</v>
      </c>
      <c r="O11" s="261"/>
      <c r="P11" s="261"/>
      <c r="Q11" s="261"/>
      <c r="R11" s="261"/>
      <c r="S11" s="261"/>
      <c r="T11" s="261"/>
      <c r="U11" s="261"/>
      <c r="V11" s="261"/>
    </row>
    <row r="12" spans="1:22" ht="15">
      <c r="A12" s="107">
        <f>IF(B12="","",COUNT(B12))</f>
        <v>1</v>
      </c>
      <c r="B12" s="61">
        <f>IF(COUNTA(D12:M12)=0,"",1)</f>
        <v>1</v>
      </c>
      <c r="C12" s="80" t="s">
        <v>215</v>
      </c>
      <c r="D12" s="347">
        <v>339</v>
      </c>
      <c r="E12" s="348"/>
      <c r="F12" s="348">
        <v>0</v>
      </c>
      <c r="G12" s="348"/>
      <c r="H12" s="348">
        <v>0</v>
      </c>
      <c r="I12" s="348"/>
      <c r="J12" s="348">
        <v>1993</v>
      </c>
      <c r="K12" s="348">
        <v>687</v>
      </c>
      <c r="L12" s="348">
        <v>-1022</v>
      </c>
      <c r="M12" s="348">
        <v>14</v>
      </c>
      <c r="N12" s="356">
        <f aca="true" t="shared" si="0" ref="N12:N26">SUM(D12:M12)</f>
        <v>2011</v>
      </c>
      <c r="P12" s="261"/>
      <c r="Q12" s="261"/>
      <c r="R12" s="261"/>
      <c r="S12" s="261"/>
      <c r="T12" s="261"/>
      <c r="U12" s="261"/>
      <c r="V12" s="261"/>
    </row>
    <row r="13" spans="1:22" ht="15">
      <c r="A13" s="63">
        <f>IF(B13="","",COUNT(B$12:B13))</f>
        <v>2</v>
      </c>
      <c r="B13" s="61">
        <f>IF(COUNTA(D13:M13)=0,"",1)</f>
        <v>1</v>
      </c>
      <c r="C13" s="23" t="s">
        <v>216</v>
      </c>
      <c r="D13" s="87"/>
      <c r="E13" s="18"/>
      <c r="F13" s="18">
        <v>0</v>
      </c>
      <c r="G13" s="18"/>
      <c r="H13" s="18">
        <v>0</v>
      </c>
      <c r="I13" s="18"/>
      <c r="J13" s="18">
        <v>0</v>
      </c>
      <c r="K13" s="18">
        <v>0</v>
      </c>
      <c r="L13" s="18"/>
      <c r="M13" s="18"/>
      <c r="N13" s="356">
        <f t="shared" si="0"/>
        <v>0</v>
      </c>
      <c r="O13" s="261"/>
      <c r="P13" s="261"/>
      <c r="Q13" s="261"/>
      <c r="R13" s="261"/>
      <c r="S13" s="261"/>
      <c r="T13" s="261"/>
      <c r="U13" s="261"/>
      <c r="V13" s="261"/>
    </row>
    <row r="14" spans="1:22" ht="15">
      <c r="A14" s="64">
        <f>IF(B14="","",COUNT(B$12:B14))</f>
      </c>
      <c r="B14" s="61">
        <f>IF(COUNTA(D14:M14)=0,"",1)</f>
      </c>
      <c r="C14" s="357" t="s">
        <v>217</v>
      </c>
      <c r="D14" s="87"/>
      <c r="E14" s="18"/>
      <c r="F14" s="18"/>
      <c r="G14" s="18"/>
      <c r="H14" s="18"/>
      <c r="I14" s="18"/>
      <c r="J14" s="18"/>
      <c r="K14" s="18"/>
      <c r="L14" s="18"/>
      <c r="M14" s="18"/>
      <c r="N14" s="356">
        <f t="shared" si="0"/>
        <v>0</v>
      </c>
      <c r="O14" s="261"/>
      <c r="P14" s="261"/>
      <c r="Q14" s="261"/>
      <c r="R14" s="261"/>
      <c r="S14" s="261"/>
      <c r="T14" s="261"/>
      <c r="U14" s="261"/>
      <c r="V14" s="261"/>
    </row>
    <row r="15" spans="1:15" ht="30">
      <c r="A15" s="358">
        <f>IF(B15="","",COUNT(B$12:B15))</f>
        <v>3</v>
      </c>
      <c r="B15" s="61">
        <f>IF(N15=0,"",1)</f>
        <v>1</v>
      </c>
      <c r="C15" s="262" t="s">
        <v>218</v>
      </c>
      <c r="D15" s="359">
        <f>Баланс!K10</f>
        <v>339</v>
      </c>
      <c r="E15" s="356">
        <f>Баланс!K11</f>
        <v>0</v>
      </c>
      <c r="F15" s="356">
        <f>Баланс!K12</f>
        <v>0</v>
      </c>
      <c r="G15" s="356">
        <f>Баланс!K14</f>
        <v>0</v>
      </c>
      <c r="H15" s="356">
        <f>Баланс!K15</f>
        <v>0</v>
      </c>
      <c r="I15" s="356">
        <f>Баланс!K16</f>
        <v>0</v>
      </c>
      <c r="J15" s="356">
        <f>Баланс!K17</f>
        <v>1993</v>
      </c>
      <c r="K15" s="356">
        <v>687</v>
      </c>
      <c r="L15" s="356">
        <f>Баланс!K21</f>
        <v>-1022</v>
      </c>
      <c r="M15" s="356">
        <v>14</v>
      </c>
      <c r="N15" s="356">
        <f t="shared" si="0"/>
        <v>2011</v>
      </c>
      <c r="O15" s="263">
        <f>IF((N12+N13+N14)=N15,"","ВЪВЕДЕТЕ СТОЙНОСТИ НА РЕДОВЕ (1), (2) или (3) от ОСК")</f>
      </c>
    </row>
    <row r="16" spans="1:15" ht="15">
      <c r="A16" s="63">
        <f>IF(B16="","",COUNT(B$12:B16))</f>
      </c>
      <c r="B16" s="61">
        <f>IF(N16=0,"",1)</f>
      </c>
      <c r="C16" s="23" t="s">
        <v>219</v>
      </c>
      <c r="D16" s="349">
        <f aca="true" t="shared" si="1" ref="D16:M16">D17+D18</f>
        <v>0</v>
      </c>
      <c r="E16" s="350">
        <f t="shared" si="1"/>
        <v>0</v>
      </c>
      <c r="F16" s="350">
        <f t="shared" si="1"/>
        <v>0</v>
      </c>
      <c r="G16" s="350">
        <f t="shared" si="1"/>
        <v>0</v>
      </c>
      <c r="H16" s="350">
        <f t="shared" si="1"/>
        <v>0</v>
      </c>
      <c r="I16" s="350">
        <f t="shared" si="1"/>
        <v>0</v>
      </c>
      <c r="J16" s="350">
        <f t="shared" si="1"/>
        <v>0</v>
      </c>
      <c r="K16" s="350">
        <f t="shared" si="1"/>
        <v>0</v>
      </c>
      <c r="L16" s="350">
        <f t="shared" si="1"/>
        <v>0</v>
      </c>
      <c r="M16" s="350">
        <f t="shared" si="1"/>
        <v>0</v>
      </c>
      <c r="N16" s="356">
        <f t="shared" si="0"/>
        <v>0</v>
      </c>
      <c r="O16" s="360">
        <f>IF(N15=Баланс!K24,"","ОСК не съответства на баланс предх.период")</f>
      </c>
    </row>
    <row r="17" spans="1:14" ht="15">
      <c r="A17" s="63">
        <f>IF(B17="","",CONCATENATE(COUNT(B$12:B16),".",COUNT(B17)))</f>
      </c>
      <c r="B17" s="61">
        <f aca="true" t="shared" si="2" ref="B17:B25">IF(COUNTA(D17:M17)=0,"",1)</f>
      </c>
      <c r="C17" s="23" t="s">
        <v>48</v>
      </c>
      <c r="D17" s="87"/>
      <c r="E17" s="18"/>
      <c r="F17" s="18"/>
      <c r="G17" s="18"/>
      <c r="H17" s="18"/>
      <c r="I17" s="18"/>
      <c r="J17" s="18"/>
      <c r="K17" s="18"/>
      <c r="L17" s="18"/>
      <c r="M17" s="18"/>
      <c r="N17" s="356">
        <f t="shared" si="0"/>
        <v>0</v>
      </c>
    </row>
    <row r="18" spans="1:14" ht="15">
      <c r="A18" s="63">
        <f>IF(B18="","",CONCATENATE(COUNT(B$12:B16),".",COUNT(B17:B18)))</f>
      </c>
      <c r="B18" s="61">
        <f t="shared" si="2"/>
      </c>
      <c r="C18" s="23" t="s">
        <v>49</v>
      </c>
      <c r="D18" s="87"/>
      <c r="E18" s="18"/>
      <c r="F18" s="18"/>
      <c r="G18" s="18"/>
      <c r="H18" s="18"/>
      <c r="I18" s="18"/>
      <c r="J18" s="18"/>
      <c r="K18" s="18"/>
      <c r="L18" s="18"/>
      <c r="M18" s="18"/>
      <c r="N18" s="356">
        <f t="shared" si="0"/>
        <v>0</v>
      </c>
    </row>
    <row r="19" spans="1:14" ht="15">
      <c r="A19" s="63">
        <f>IF(B19="","",COUNT(B$12:B19)-COUNT(B$17:B$18))</f>
        <v>4</v>
      </c>
      <c r="B19" s="61">
        <f>IF(N19=0,"",1)</f>
        <v>1</v>
      </c>
      <c r="C19" s="23" t="s">
        <v>220</v>
      </c>
      <c r="D19" s="87"/>
      <c r="E19" s="18"/>
      <c r="F19" s="18"/>
      <c r="G19" s="18"/>
      <c r="H19" s="18"/>
      <c r="I19" s="18"/>
      <c r="J19" s="18"/>
      <c r="K19" s="18"/>
      <c r="L19" s="18"/>
      <c r="M19" s="350">
        <f>bal123_1</f>
        <v>-1358</v>
      </c>
      <c r="N19" s="356">
        <f t="shared" si="0"/>
        <v>-1358</v>
      </c>
    </row>
    <row r="20" spans="1:14" ht="15">
      <c r="A20" s="63">
        <f>IF(B20="","",COUNT(B$12:B20)-COUNT(B$17:B$18))</f>
        <v>5</v>
      </c>
      <c r="B20" s="61">
        <f t="shared" si="2"/>
        <v>1</v>
      </c>
      <c r="C20" s="23" t="s">
        <v>221</v>
      </c>
      <c r="D20" s="87"/>
      <c r="E20" s="18"/>
      <c r="F20" s="18"/>
      <c r="G20" s="18"/>
      <c r="H20" s="18"/>
      <c r="I20" s="18"/>
      <c r="J20" s="18">
        <v>14</v>
      </c>
      <c r="K20" s="18"/>
      <c r="L20" s="18">
        <v>0</v>
      </c>
      <c r="M20" s="18">
        <v>-14</v>
      </c>
      <c r="N20" s="356">
        <f t="shared" si="0"/>
        <v>0</v>
      </c>
    </row>
    <row r="21" spans="1:14" ht="15">
      <c r="A21" s="63" t="str">
        <f>IF(B21="","",CONCATENATE(COUNT(B$12:B20)-COUNT(B$17:B$18),".",COUNT(B$21)))</f>
        <v>5.1</v>
      </c>
      <c r="B21" s="61">
        <f t="shared" si="2"/>
        <v>1</v>
      </c>
      <c r="C21" s="23" t="s">
        <v>50</v>
      </c>
      <c r="D21" s="87"/>
      <c r="E21" s="18"/>
      <c r="F21" s="18"/>
      <c r="G21" s="18"/>
      <c r="H21" s="18"/>
      <c r="I21" s="18"/>
      <c r="J21" s="18"/>
      <c r="K21" s="18"/>
      <c r="L21" s="18">
        <v>0</v>
      </c>
      <c r="M21" s="18"/>
      <c r="N21" s="356">
        <f t="shared" si="0"/>
        <v>0</v>
      </c>
    </row>
    <row r="22" spans="1:14" ht="15">
      <c r="A22" s="63">
        <f>IF(B22="","",COUNT(B$12:B22)-COUNT(B$17,B$18,B$21))</f>
      </c>
      <c r="B22" s="61">
        <f t="shared" si="2"/>
      </c>
      <c r="C22" s="23" t="s">
        <v>222</v>
      </c>
      <c r="D22" s="87"/>
      <c r="E22" s="18"/>
      <c r="F22" s="18"/>
      <c r="G22" s="18"/>
      <c r="H22" s="18"/>
      <c r="I22" s="18"/>
      <c r="J22" s="18"/>
      <c r="K22" s="18"/>
      <c r="L22" s="18"/>
      <c r="M22" s="18"/>
      <c r="N22" s="356">
        <f t="shared" si="0"/>
        <v>0</v>
      </c>
    </row>
    <row r="23" spans="1:14" ht="15">
      <c r="A23" s="63">
        <f>IF(B23="","",COUNT(B$12:B23)-COUNT(B$17,B$18,B$21))</f>
      </c>
      <c r="B23" s="61">
        <f t="shared" si="2"/>
      </c>
      <c r="C23" s="23" t="s">
        <v>223</v>
      </c>
      <c r="D23" s="87"/>
      <c r="E23" s="18"/>
      <c r="F23" s="18"/>
      <c r="G23" s="18"/>
      <c r="H23" s="18"/>
      <c r="I23" s="18"/>
      <c r="J23" s="18"/>
      <c r="K23" s="18"/>
      <c r="L23" s="18"/>
      <c r="M23" s="18"/>
      <c r="N23" s="356">
        <f t="shared" si="0"/>
        <v>0</v>
      </c>
    </row>
    <row r="24" spans="1:14" ht="15">
      <c r="A24" s="63">
        <f>IF(B24="","",CONCATENATE(COUNT(B$12:B24)-COUNT(B$17,B$18,B$21,B$24),".",COUNT(B24)))</f>
      </c>
      <c r="B24" s="61">
        <f t="shared" si="2"/>
      </c>
      <c r="C24" s="23" t="s">
        <v>51</v>
      </c>
      <c r="D24" s="87"/>
      <c r="E24" s="18"/>
      <c r="F24" s="18"/>
      <c r="G24" s="18"/>
      <c r="H24" s="18"/>
      <c r="I24" s="18"/>
      <c r="J24" s="18"/>
      <c r="K24" s="18"/>
      <c r="L24" s="18"/>
      <c r="M24" s="18"/>
      <c r="N24" s="356">
        <f t="shared" si="0"/>
        <v>0</v>
      </c>
    </row>
    <row r="25" spans="1:14" ht="15">
      <c r="A25" s="63">
        <f>IF(B25="","",CONCATENATE(COUNT(B$12:B25)-COUNT(B$17,B$18,B$21,B$24,B$25),".",COUNT(B24:B25)))</f>
      </c>
      <c r="B25" s="61">
        <f t="shared" si="2"/>
      </c>
      <c r="C25" s="23" t="s">
        <v>52</v>
      </c>
      <c r="D25" s="87"/>
      <c r="E25" s="18"/>
      <c r="F25" s="18"/>
      <c r="G25" s="18"/>
      <c r="H25" s="18"/>
      <c r="I25" s="18"/>
      <c r="J25" s="18"/>
      <c r="K25" s="18"/>
      <c r="L25" s="18"/>
      <c r="M25" s="18"/>
      <c r="N25" s="356">
        <f t="shared" si="0"/>
        <v>0</v>
      </c>
    </row>
    <row r="26" spans="1:14" ht="15">
      <c r="A26" s="63">
        <f>IF(B26="","",COUNT(B$12:B26)-COUNT(B$17,B$18,B$21,B$24:B$25))</f>
        <v>6</v>
      </c>
      <c r="B26" s="61">
        <f>IF(COUNTA(D26:M26)=0,"",1)</f>
        <v>1</v>
      </c>
      <c r="C26" s="23" t="s">
        <v>224</v>
      </c>
      <c r="D26" s="87"/>
      <c r="E26" s="18"/>
      <c r="F26" s="18"/>
      <c r="G26" s="18"/>
      <c r="H26" s="18"/>
      <c r="I26" s="18"/>
      <c r="J26" s="18">
        <v>0</v>
      </c>
      <c r="K26" s="18">
        <v>0</v>
      </c>
      <c r="L26" s="18">
        <v>0</v>
      </c>
      <c r="M26" s="18"/>
      <c r="N26" s="356">
        <f t="shared" si="0"/>
        <v>0</v>
      </c>
    </row>
    <row r="27" spans="1:14" ht="15">
      <c r="A27" s="107">
        <f>IF(B27="","",COUNT(B12:B16,B19:B20,B22:B23,B26,B27))</f>
        <v>7</v>
      </c>
      <c r="B27" s="61">
        <f>IF(N27=0,"",1)</f>
        <v>1</v>
      </c>
      <c r="C27" s="80" t="s">
        <v>225</v>
      </c>
      <c r="D27" s="359">
        <f aca="true" t="shared" si="3" ref="D27:M27">D15+D16+D19+D20+D22+D23+D26</f>
        <v>339</v>
      </c>
      <c r="E27" s="356">
        <f t="shared" si="3"/>
        <v>0</v>
      </c>
      <c r="F27" s="356">
        <f t="shared" si="3"/>
        <v>0</v>
      </c>
      <c r="G27" s="356">
        <f t="shared" si="3"/>
        <v>0</v>
      </c>
      <c r="H27" s="356">
        <f t="shared" si="3"/>
        <v>0</v>
      </c>
      <c r="I27" s="356">
        <f t="shared" si="3"/>
        <v>0</v>
      </c>
      <c r="J27" s="356">
        <f t="shared" si="3"/>
        <v>2007</v>
      </c>
      <c r="K27" s="356">
        <f>K15+K16+K19+K20+K22+K23+K26+P2+K21</f>
        <v>687</v>
      </c>
      <c r="L27" s="356">
        <f t="shared" si="3"/>
        <v>-1022</v>
      </c>
      <c r="M27" s="356">
        <f t="shared" si="3"/>
        <v>-1358</v>
      </c>
      <c r="N27" s="356">
        <f>N15+N16+N19+N20+N22+N23+N26+N21</f>
        <v>653</v>
      </c>
    </row>
    <row r="28" spans="1:14" ht="29.25" customHeight="1">
      <c r="A28" s="65">
        <f>IF(B28="","",COUNT(B12:B16,B19:B20,B22:B23,B26,B27,B28))</f>
      </c>
      <c r="B28" s="61">
        <f>IF(COUNTA(D28:M28)=0,"",1)</f>
      </c>
      <c r="C28" s="79" t="s">
        <v>226</v>
      </c>
      <c r="D28" s="87"/>
      <c r="E28" s="18"/>
      <c r="F28" s="18"/>
      <c r="G28" s="18"/>
      <c r="H28" s="18"/>
      <c r="I28" s="18"/>
      <c r="J28" s="18"/>
      <c r="K28" s="18"/>
      <c r="L28" s="18"/>
      <c r="M28" s="18"/>
      <c r="N28" s="356">
        <f>SUM(D28:M28)</f>
        <v>0</v>
      </c>
    </row>
    <row r="29" spans="1:15" ht="15">
      <c r="A29" s="107">
        <f>IF(B29="","",COUNT(B12:B16,B19:B20,B22:B23,B26,B27,B28,B29))</f>
        <v>8</v>
      </c>
      <c r="B29" s="61">
        <f>IF(N29=0,"",1)</f>
        <v>1</v>
      </c>
      <c r="C29" s="78" t="s">
        <v>227</v>
      </c>
      <c r="D29" s="359">
        <f aca="true" t="shared" si="4" ref="D29:N29">D27+D28</f>
        <v>339</v>
      </c>
      <c r="E29" s="356">
        <f t="shared" si="4"/>
        <v>0</v>
      </c>
      <c r="F29" s="356">
        <f t="shared" si="4"/>
        <v>0</v>
      </c>
      <c r="G29" s="356">
        <f t="shared" si="4"/>
        <v>0</v>
      </c>
      <c r="H29" s="356">
        <f t="shared" si="4"/>
        <v>0</v>
      </c>
      <c r="I29" s="356">
        <f t="shared" si="4"/>
        <v>0</v>
      </c>
      <c r="J29" s="356">
        <f t="shared" si="4"/>
        <v>2007</v>
      </c>
      <c r="K29" s="356">
        <f t="shared" si="4"/>
        <v>687</v>
      </c>
      <c r="L29" s="356">
        <f t="shared" si="4"/>
        <v>-1022</v>
      </c>
      <c r="M29" s="356">
        <f t="shared" si="4"/>
        <v>-1358</v>
      </c>
      <c r="N29" s="356">
        <f t="shared" si="4"/>
        <v>653</v>
      </c>
      <c r="O29" s="264">
        <f>IF(N29=Баланс!J24,"","Собственият капитал не съответства на баланса")</f>
      </c>
    </row>
    <row r="30" spans="1:14" s="265" customFormat="1" ht="14.25">
      <c r="A30" s="59"/>
      <c r="B30" s="59"/>
      <c r="D30" s="266">
        <f>IF(D29-bal101_1=0,"",D29-bal101_1)</f>
      </c>
      <c r="E30" s="266">
        <f>IF(E29-balPremii_1=0,"",E29-balPremii_1)</f>
      </c>
      <c r="F30" s="266">
        <f>IF(F29-balRezerv_1=0,"",F29-balRezerv_1)</f>
      </c>
      <c r="G30" s="266">
        <f>IF(G29-balZakRezervi_1=0,"",G29-balZakRezervi_1)</f>
      </c>
      <c r="H30" s="266">
        <f>IF(H29-balRezerviAkcii_1=0,"",H29-balRezerviAkcii_1)</f>
      </c>
      <c r="I30" s="266">
        <f>IF(I29-balRezervU4rAkt_1=0,"",I29-balRezervU4rAkt_1)</f>
      </c>
      <c r="J30" s="266">
        <f>IF(J29-balDrRezerv_1=0,"",J29-balDrRezerv_1)</f>
      </c>
      <c r="K30" s="266">
        <f>IF(K29-bal122_1=0,"",K29-bal122_1)</f>
      </c>
      <c r="L30" s="266">
        <f>IF(L29-bal121_1=0,"",L29-bal121_1)</f>
      </c>
      <c r="M30" s="266">
        <f>IF(M29-bal123_1=0,"",M29-bal123_1)</f>
      </c>
      <c r="N30" s="266">
        <f>IF(N29-Баланс!J24=0,"",N29-Баланс!J24)</f>
      </c>
    </row>
    <row r="31" spans="1:14" s="268" customFormat="1" ht="14.25" hidden="1">
      <c r="A31" s="62"/>
      <c r="B31" s="62"/>
      <c r="C31" s="267"/>
      <c r="D31" s="267">
        <f>IF(D15+D27+D29=0,"",1)</f>
        <v>1</v>
      </c>
      <c r="E31" s="267">
        <f aca="true" t="shared" si="5" ref="E31:N31">IF(E15+E27+E29=0,"",1)</f>
      </c>
      <c r="F31" s="267">
        <f t="shared" si="5"/>
      </c>
      <c r="G31" s="267">
        <f t="shared" si="5"/>
      </c>
      <c r="H31" s="267">
        <f t="shared" si="5"/>
      </c>
      <c r="I31" s="267">
        <f t="shared" si="5"/>
      </c>
      <c r="J31" s="267">
        <f t="shared" si="5"/>
        <v>1</v>
      </c>
      <c r="K31" s="267">
        <f t="shared" si="5"/>
        <v>1</v>
      </c>
      <c r="L31" s="267">
        <f t="shared" si="5"/>
        <v>1</v>
      </c>
      <c r="M31" s="267">
        <f t="shared" si="5"/>
        <v>1</v>
      </c>
      <c r="N31" s="267">
        <f t="shared" si="5"/>
        <v>1</v>
      </c>
    </row>
    <row r="32" spans="1:14" s="148" customFormat="1" ht="27" customHeight="1">
      <c r="A32" s="60"/>
      <c r="B32" s="60"/>
      <c r="C32" s="57" t="str">
        <f>CONCATENATE("Дата на съставяне: ",TEXT(data_na_sustaviane,"dd.mm.yyyy"))</f>
        <v>Дата на съставяне: 16.03.2020 г.</v>
      </c>
      <c r="D32" s="66">
        <f>D11</f>
        <v>1</v>
      </c>
      <c r="E32" s="66">
        <f aca="true" t="shared" si="6" ref="E32:N32">E11</f>
      </c>
      <c r="F32" s="66">
        <f t="shared" si="6"/>
      </c>
      <c r="G32" s="66">
        <f t="shared" si="6"/>
      </c>
      <c r="H32" s="66">
        <f t="shared" si="6"/>
      </c>
      <c r="I32" s="66">
        <f t="shared" si="6"/>
      </c>
      <c r="J32" s="66">
        <f t="shared" si="6"/>
        <v>2</v>
      </c>
      <c r="K32" s="66">
        <f t="shared" si="6"/>
        <v>3</v>
      </c>
      <c r="L32" s="66">
        <f t="shared" si="6"/>
        <v>4</v>
      </c>
      <c r="M32" s="66">
        <f t="shared" si="6"/>
        <v>5</v>
      </c>
      <c r="N32" s="66">
        <f t="shared" si="6"/>
        <v>6</v>
      </c>
    </row>
    <row r="33" spans="1:13" s="148" customFormat="1" ht="14.25">
      <c r="A33" s="60"/>
      <c r="B33" s="60"/>
      <c r="C33" s="633" t="str">
        <f>CONCATENATE(grad)</f>
        <v>гр. Хасково</v>
      </c>
      <c r="D33" s="633"/>
      <c r="E33" s="12"/>
      <c r="F33" s="12"/>
      <c r="G33" s="12"/>
      <c r="H33" s="12"/>
      <c r="I33" s="10"/>
      <c r="J33" s="10"/>
      <c r="K33" s="10"/>
      <c r="L33" s="10"/>
      <c r="M33" s="10"/>
    </row>
    <row r="34" spans="1:8" s="148" customFormat="1" ht="14.25">
      <c r="A34" s="60"/>
      <c r="B34" s="60"/>
      <c r="C34" s="39"/>
      <c r="D34" s="39"/>
      <c r="E34" s="13"/>
      <c r="F34" s="12"/>
      <c r="G34" s="13"/>
      <c r="H34" s="12"/>
    </row>
    <row r="35" spans="3:8" ht="15">
      <c r="C35" s="15" t="str">
        <f>'Данни на фирмата'!A6</f>
        <v>Управител:</v>
      </c>
      <c r="D35" s="15"/>
      <c r="E35" s="15"/>
      <c r="G35" s="15"/>
      <c r="H35" s="9"/>
    </row>
    <row r="36" spans="3:8" ht="15">
      <c r="C36" s="271" t="str">
        <f>predstavliavasht</f>
        <v>инж.Тодор  Райчев Марков</v>
      </c>
      <c r="D36" s="15"/>
      <c r="E36" s="9"/>
      <c r="G36" s="15"/>
      <c r="H36" s="15"/>
    </row>
    <row r="37" spans="3:8" ht="15">
      <c r="C37" s="40"/>
      <c r="D37" s="269"/>
      <c r="E37" s="15"/>
      <c r="F37" s="269"/>
      <c r="G37" s="15"/>
      <c r="H37" s="9"/>
    </row>
    <row r="38" spans="3:8" ht="15">
      <c r="C38" s="633" t="str">
        <f>'Данни на фирмата'!A7</f>
        <v>Главен счетоводител/Съставител :</v>
      </c>
      <c r="D38" s="633"/>
      <c r="E38" s="15"/>
      <c r="F38" s="15"/>
      <c r="G38" s="15"/>
      <c r="H38" s="9"/>
    </row>
    <row r="39" spans="3:8" ht="15">
      <c r="C39" s="633" t="str">
        <f>sustavitel</f>
        <v> Снежана  Петрова  Маркова</v>
      </c>
      <c r="D39" s="633"/>
      <c r="E39" s="15"/>
      <c r="F39" s="15"/>
      <c r="G39" s="15"/>
      <c r="H39" s="9"/>
    </row>
    <row r="42" ht="15">
      <c r="C42" s="41" t="s">
        <v>213</v>
      </c>
    </row>
    <row r="43" ht="15">
      <c r="C43" s="41" t="s">
        <v>142</v>
      </c>
    </row>
    <row r="44" ht="15">
      <c r="C44" s="41" t="s">
        <v>143</v>
      </c>
    </row>
  </sheetData>
  <sheetProtection sheet="1" formatColumns="0" formatRows="0" deleteColumns="0" deleteRows="0"/>
  <mergeCells count="20">
    <mergeCell ref="F8:F10"/>
    <mergeCell ref="K8:K10"/>
    <mergeCell ref="L8:L10"/>
    <mergeCell ref="M8:M10"/>
    <mergeCell ref="N8:N10"/>
    <mergeCell ref="C33:D33"/>
    <mergeCell ref="G8:G10"/>
    <mergeCell ref="I8:I10"/>
    <mergeCell ref="J8:J10"/>
    <mergeCell ref="E8:E10"/>
    <mergeCell ref="C38:D38"/>
    <mergeCell ref="C39:D39"/>
    <mergeCell ref="A8:C10"/>
    <mergeCell ref="D8:D10"/>
    <mergeCell ref="K2:N2"/>
    <mergeCell ref="C3:N3"/>
    <mergeCell ref="C4:N4"/>
    <mergeCell ref="C5:N5"/>
    <mergeCell ref="C6:N6"/>
    <mergeCell ref="H8:H10"/>
  </mergeCells>
  <hyperlinks>
    <hyperlink ref="C1" location="Съдържание!A1" display="Обратно към Съдържание"/>
  </hyperlinks>
  <printOptions horizontalCentered="1"/>
  <pageMargins left="0.19652777777777777" right="0.11805555555555557" top="0.27569444444444446" bottom="0" header="0.5118055555555556" footer="0.5118055555555556"/>
  <pageSetup horizontalDpi="600" verticalDpi="600" orientation="landscape" paperSize="9" scale="82" r:id="rId4"/>
  <ignoredErrors>
    <ignoredError sqref="D11:N11" unlockedFormula="1"/>
    <ignoredError sqref="B19 B27" 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V52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46.28125" style="151" customWidth="1"/>
    <col min="2" max="5" width="11.57421875" style="151" customWidth="1"/>
    <col min="6" max="6" width="13.421875" style="151" customWidth="1"/>
    <col min="7" max="16" width="11.57421875" style="151" customWidth="1"/>
    <col min="17" max="17" width="13.8515625" style="151" customWidth="1"/>
    <col min="18" max="18" width="12.28125" style="151" customWidth="1"/>
    <col min="19" max="255" width="9.140625" style="151" customWidth="1"/>
    <col min="256" max="16384" width="9.140625" style="153" customWidth="1"/>
  </cols>
  <sheetData>
    <row r="1" spans="1:16" ht="15">
      <c r="A1" s="150" t="s">
        <v>2</v>
      </c>
      <c r="P1" s="152"/>
    </row>
    <row r="2" spans="1:16" ht="19.5">
      <c r="A2" s="671" t="s">
        <v>72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</row>
    <row r="3" spans="1:16" ht="19.5">
      <c r="A3" s="671" t="str">
        <f>CONCATENATE("за нетекущите(дълготрайните) активи към ",TEXT(data_na_otcheta,"dd.mm.yyyy г."))</f>
        <v>за нетекущите(дълготрайните) активи към 31.12.2019 г.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</row>
    <row r="4" spans="1:16" ht="19.5">
      <c r="A4" s="672" t="str">
        <f>ime_firma</f>
        <v>ВОДОСНАБДЯВАНЕ И КАНАЛИЗАЦИЯ ЕООД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4:16" ht="18.75">
      <c r="D5" s="560" t="s">
        <v>345</v>
      </c>
      <c r="E5" s="560"/>
      <c r="P5" s="154" t="s">
        <v>73</v>
      </c>
    </row>
    <row r="6" spans="1:256" s="156" customFormat="1" ht="34.5" customHeight="1">
      <c r="A6" s="676" t="s">
        <v>37</v>
      </c>
      <c r="B6" s="673" t="s">
        <v>74</v>
      </c>
      <c r="C6" s="673"/>
      <c r="D6" s="673"/>
      <c r="E6" s="673"/>
      <c r="F6" s="673" t="s">
        <v>75</v>
      </c>
      <c r="G6" s="673"/>
      <c r="H6" s="155" t="s">
        <v>76</v>
      </c>
      <c r="I6" s="674" t="s">
        <v>77</v>
      </c>
      <c r="J6" s="674"/>
      <c r="K6" s="674"/>
      <c r="L6" s="674"/>
      <c r="M6" s="674" t="s">
        <v>75</v>
      </c>
      <c r="N6" s="674"/>
      <c r="O6" s="673" t="s">
        <v>78</v>
      </c>
      <c r="P6" s="673" t="s">
        <v>79</v>
      </c>
      <c r="IV6" s="153"/>
    </row>
    <row r="7" spans="1:256" s="156" customFormat="1" ht="60" customHeight="1" thickBot="1">
      <c r="A7" s="677"/>
      <c r="B7" s="157" t="s">
        <v>80</v>
      </c>
      <c r="C7" s="157" t="s">
        <v>81</v>
      </c>
      <c r="D7" s="157" t="s">
        <v>82</v>
      </c>
      <c r="E7" s="157" t="s">
        <v>83</v>
      </c>
      <c r="F7" s="157" t="s">
        <v>84</v>
      </c>
      <c r="G7" s="157" t="s">
        <v>85</v>
      </c>
      <c r="H7" s="158" t="s">
        <v>86</v>
      </c>
      <c r="I7" s="157" t="s">
        <v>80</v>
      </c>
      <c r="J7" s="157" t="s">
        <v>87</v>
      </c>
      <c r="K7" s="157" t="s">
        <v>88</v>
      </c>
      <c r="L7" s="157" t="s">
        <v>89</v>
      </c>
      <c r="M7" s="159" t="s">
        <v>84</v>
      </c>
      <c r="N7" s="159" t="s">
        <v>85</v>
      </c>
      <c r="O7" s="675"/>
      <c r="P7" s="675"/>
      <c r="IV7" s="153"/>
    </row>
    <row r="8" spans="1:256" s="162" customFormat="1" ht="15.75" thickTop="1">
      <c r="A8" s="160" t="s">
        <v>10</v>
      </c>
      <c r="B8" s="161">
        <v>1</v>
      </c>
      <c r="C8" s="161">
        <v>2</v>
      </c>
      <c r="D8" s="161">
        <v>3</v>
      </c>
      <c r="E8" s="161">
        <v>4</v>
      </c>
      <c r="F8" s="161">
        <v>5</v>
      </c>
      <c r="G8" s="161">
        <v>6</v>
      </c>
      <c r="H8" s="161">
        <v>7</v>
      </c>
      <c r="I8" s="161">
        <v>8</v>
      </c>
      <c r="J8" s="161">
        <v>9</v>
      </c>
      <c r="K8" s="161">
        <v>10</v>
      </c>
      <c r="L8" s="161">
        <v>11</v>
      </c>
      <c r="M8" s="161">
        <v>12</v>
      </c>
      <c r="N8" s="161">
        <v>13</v>
      </c>
      <c r="O8" s="161">
        <v>14</v>
      </c>
      <c r="P8" s="161">
        <v>15</v>
      </c>
      <c r="IV8" s="153"/>
    </row>
    <row r="9" spans="1:256" s="162" customFormat="1" ht="15">
      <c r="A9" s="163" t="s">
        <v>90</v>
      </c>
      <c r="B9" s="164"/>
      <c r="C9" s="164"/>
      <c r="D9" s="164"/>
      <c r="E9" s="165"/>
      <c r="F9" s="166"/>
      <c r="G9" s="166"/>
      <c r="H9" s="165"/>
      <c r="I9" s="166"/>
      <c r="J9" s="166"/>
      <c r="K9" s="166"/>
      <c r="L9" s="165"/>
      <c r="M9" s="166"/>
      <c r="N9" s="166"/>
      <c r="O9" s="165"/>
      <c r="P9" s="165"/>
      <c r="IV9" s="153"/>
    </row>
    <row r="10" spans="1:256" s="162" customFormat="1" ht="15">
      <c r="A10" s="167" t="str">
        <f>Баланс!C12</f>
        <v>Продукти от развойна дейност</v>
      </c>
      <c r="B10" s="166"/>
      <c r="C10" s="166"/>
      <c r="D10" s="166"/>
      <c r="E10" s="168">
        <f>B10+C10-D10</f>
        <v>0</v>
      </c>
      <c r="F10" s="166"/>
      <c r="G10" s="166"/>
      <c r="H10" s="168">
        <f>E10+F10-G10</f>
        <v>0</v>
      </c>
      <c r="I10" s="166"/>
      <c r="J10" s="166"/>
      <c r="K10" s="166"/>
      <c r="L10" s="168">
        <f>I10+J10-K10</f>
        <v>0</v>
      </c>
      <c r="M10" s="166"/>
      <c r="N10" s="166"/>
      <c r="O10" s="168">
        <f>L10+M10-N10</f>
        <v>0</v>
      </c>
      <c r="P10" s="168">
        <f>H10-O10</f>
        <v>0</v>
      </c>
      <c r="Q10" s="169">
        <f>IF(P10=Баланс!E12,"",P10-Баланс!E12)</f>
      </c>
      <c r="IV10" s="153"/>
    </row>
    <row r="11" spans="1:256" s="162" customFormat="1" ht="26.25">
      <c r="A11" s="167" t="str">
        <f>Баланс!C13</f>
        <v>Концесии, патенти, лицензии, търговски марки, програмни продукти и други подобни права и активи</v>
      </c>
      <c r="B11" s="166">
        <v>253</v>
      </c>
      <c r="C11" s="166">
        <v>13</v>
      </c>
      <c r="D11" s="166"/>
      <c r="E11" s="168">
        <f>B11+C11-D11</f>
        <v>266</v>
      </c>
      <c r="F11" s="166"/>
      <c r="G11" s="166"/>
      <c r="H11" s="168">
        <f>E11+F11-G11</f>
        <v>266</v>
      </c>
      <c r="I11" s="166">
        <v>190</v>
      </c>
      <c r="J11" s="166">
        <v>31</v>
      </c>
      <c r="K11" s="166"/>
      <c r="L11" s="168">
        <f>I11+J11-K11</f>
        <v>221</v>
      </c>
      <c r="M11" s="166"/>
      <c r="N11" s="166"/>
      <c r="O11" s="168">
        <f>L11+M11-N11</f>
        <v>221</v>
      </c>
      <c r="P11" s="168">
        <f>H11-O11</f>
        <v>45</v>
      </c>
      <c r="Q11" s="169">
        <f>IF(P11=Баланс!E13,"",P11-Баланс!E13)</f>
      </c>
      <c r="IV11" s="153"/>
    </row>
    <row r="12" spans="1:256" s="162" customFormat="1" ht="15">
      <c r="A12" s="167" t="str">
        <f>Баланс!C14</f>
        <v>Търговска репутация</v>
      </c>
      <c r="B12" s="166"/>
      <c r="C12" s="166"/>
      <c r="D12" s="166"/>
      <c r="E12" s="168">
        <f>B12+C12-D12</f>
        <v>0</v>
      </c>
      <c r="F12" s="166"/>
      <c r="G12" s="166"/>
      <c r="H12" s="168">
        <f>E12+F12-G12</f>
        <v>0</v>
      </c>
      <c r="I12" s="166"/>
      <c r="J12" s="166"/>
      <c r="K12" s="166"/>
      <c r="L12" s="168">
        <f>I12+J12-K12</f>
        <v>0</v>
      </c>
      <c r="M12" s="166"/>
      <c r="N12" s="166"/>
      <c r="O12" s="168">
        <f>L12+M12-N12</f>
        <v>0</v>
      </c>
      <c r="P12" s="168">
        <f>H12-O12</f>
        <v>0</v>
      </c>
      <c r="Q12" s="169">
        <f>IF(P12=Баланс!E14,"",P12-Баланс!E14)</f>
      </c>
      <c r="IV12" s="153"/>
    </row>
    <row r="13" spans="1:256" s="162" customFormat="1" ht="26.25">
      <c r="A13" s="167" t="str">
        <f>Баланс!C15</f>
        <v>Предоставени аванси и нематериални активи в процес на изграждане</v>
      </c>
      <c r="B13" s="166"/>
      <c r="C13" s="166"/>
      <c r="D13" s="166"/>
      <c r="E13" s="168">
        <f>B13+C13-D13</f>
        <v>0</v>
      </c>
      <c r="F13" s="166"/>
      <c r="G13" s="166"/>
      <c r="H13" s="168">
        <f>E13+F13-G13</f>
        <v>0</v>
      </c>
      <c r="I13" s="166"/>
      <c r="J13" s="166"/>
      <c r="K13" s="166"/>
      <c r="L13" s="168">
        <f>I13+J13-K13</f>
        <v>0</v>
      </c>
      <c r="M13" s="166"/>
      <c r="N13" s="166"/>
      <c r="O13" s="168">
        <f>L13+M13-N13</f>
        <v>0</v>
      </c>
      <c r="P13" s="168">
        <f>H13-O13</f>
        <v>0</v>
      </c>
      <c r="Q13" s="169">
        <f>IF(P13=Баланс!E15,"",P13-Баланс!E15)</f>
      </c>
      <c r="IV13" s="153"/>
    </row>
    <row r="14" spans="1:256" s="162" customFormat="1" ht="15">
      <c r="A14" s="170" t="s">
        <v>91</v>
      </c>
      <c r="B14" s="168">
        <f aca="true" t="shared" si="0" ref="B14:P14">SUM(B10:B13)</f>
        <v>253</v>
      </c>
      <c r="C14" s="168">
        <f t="shared" si="0"/>
        <v>13</v>
      </c>
      <c r="D14" s="168">
        <f t="shared" si="0"/>
        <v>0</v>
      </c>
      <c r="E14" s="168">
        <f t="shared" si="0"/>
        <v>266</v>
      </c>
      <c r="F14" s="168">
        <f t="shared" si="0"/>
        <v>0</v>
      </c>
      <c r="G14" s="168">
        <f t="shared" si="0"/>
        <v>0</v>
      </c>
      <c r="H14" s="168">
        <f t="shared" si="0"/>
        <v>266</v>
      </c>
      <c r="I14" s="168">
        <f t="shared" si="0"/>
        <v>190</v>
      </c>
      <c r="J14" s="168">
        <f t="shared" si="0"/>
        <v>31</v>
      </c>
      <c r="K14" s="168">
        <f t="shared" si="0"/>
        <v>0</v>
      </c>
      <c r="L14" s="168">
        <f t="shared" si="0"/>
        <v>221</v>
      </c>
      <c r="M14" s="168">
        <f t="shared" si="0"/>
        <v>0</v>
      </c>
      <c r="N14" s="168">
        <f t="shared" si="0"/>
        <v>0</v>
      </c>
      <c r="O14" s="168">
        <f t="shared" si="0"/>
        <v>221</v>
      </c>
      <c r="P14" s="168">
        <f t="shared" si="0"/>
        <v>45</v>
      </c>
      <c r="Q14" s="169">
        <f>IF(P14=Баланс!E16,"",P14-Баланс!E16)</f>
      </c>
      <c r="IV14" s="153"/>
    </row>
    <row r="15" spans="1:17" ht="20.25" customHeight="1">
      <c r="A15" s="163" t="s">
        <v>92</v>
      </c>
      <c r="B15" s="165"/>
      <c r="C15" s="165"/>
      <c r="D15" s="165"/>
      <c r="E15" s="165"/>
      <c r="F15" s="165"/>
      <c r="G15" s="165"/>
      <c r="H15" s="168"/>
      <c r="I15" s="165"/>
      <c r="J15" s="165"/>
      <c r="K15" s="165"/>
      <c r="L15" s="168"/>
      <c r="M15" s="165"/>
      <c r="N15" s="165"/>
      <c r="O15" s="168"/>
      <c r="P15" s="168"/>
      <c r="Q15" s="169"/>
    </row>
    <row r="16" spans="1:17" ht="15" customHeight="1">
      <c r="A16" s="171" t="str">
        <f>Баланс!C18</f>
        <v>Земи и сгради, в т. ч.:</v>
      </c>
      <c r="B16" s="168">
        <f>B17+B18</f>
        <v>1427</v>
      </c>
      <c r="C16" s="168">
        <f>C17+C18</f>
        <v>2</v>
      </c>
      <c r="D16" s="168">
        <f>D17+D18</f>
        <v>0</v>
      </c>
      <c r="E16" s="168">
        <f aca="true" t="shared" si="1" ref="E16:E21">B16+C16-D16</f>
        <v>1429</v>
      </c>
      <c r="F16" s="168">
        <f>F17+F18</f>
        <v>0</v>
      </c>
      <c r="G16" s="168">
        <f>G17+G18</f>
        <v>0</v>
      </c>
      <c r="H16" s="168">
        <f aca="true" t="shared" si="2" ref="H16:H21">E16+F16-G16</f>
        <v>1429</v>
      </c>
      <c r="I16" s="168">
        <f>I17+I18</f>
        <v>962</v>
      </c>
      <c r="J16" s="168">
        <f>J17+J18</f>
        <v>37</v>
      </c>
      <c r="K16" s="168">
        <f>K17+K18</f>
        <v>0</v>
      </c>
      <c r="L16" s="168">
        <f aca="true" t="shared" si="3" ref="L16:L21">I16+J16-K16</f>
        <v>999</v>
      </c>
      <c r="M16" s="168">
        <f>M17+M18</f>
        <v>0</v>
      </c>
      <c r="N16" s="168">
        <f>N17+N18</f>
        <v>0</v>
      </c>
      <c r="O16" s="168">
        <f aca="true" t="shared" si="4" ref="O16:O21">L16+M16-N16</f>
        <v>999</v>
      </c>
      <c r="P16" s="168">
        <f aca="true" t="shared" si="5" ref="P16:P21">H16-O16</f>
        <v>430</v>
      </c>
      <c r="Q16" s="169">
        <f>IF(P16=Баланс!E18,"",P16-Баланс!E18)</f>
      </c>
    </row>
    <row r="17" spans="1:17" ht="15" customHeight="1">
      <c r="A17" s="171" t="str">
        <f>Баланс!C19</f>
        <v>земи</v>
      </c>
      <c r="B17" s="172">
        <v>140</v>
      </c>
      <c r="C17" s="172">
        <v>2</v>
      </c>
      <c r="D17" s="172"/>
      <c r="E17" s="168">
        <f t="shared" si="1"/>
        <v>142</v>
      </c>
      <c r="F17" s="172"/>
      <c r="G17" s="172"/>
      <c r="H17" s="168">
        <f t="shared" si="2"/>
        <v>142</v>
      </c>
      <c r="I17" s="172"/>
      <c r="J17" s="172"/>
      <c r="K17" s="172"/>
      <c r="L17" s="168">
        <f t="shared" si="3"/>
        <v>0</v>
      </c>
      <c r="M17" s="172"/>
      <c r="N17" s="172"/>
      <c r="O17" s="168">
        <f t="shared" si="4"/>
        <v>0</v>
      </c>
      <c r="P17" s="168">
        <f t="shared" si="5"/>
        <v>142</v>
      </c>
      <c r="Q17" s="169">
        <f>IF(P17=Баланс!E19,"",P17-Баланс!E19)</f>
      </c>
    </row>
    <row r="18" spans="1:17" ht="15" customHeight="1">
      <c r="A18" s="171" t="str">
        <f>Баланс!C20</f>
        <v>сгради</v>
      </c>
      <c r="B18" s="172">
        <v>1287</v>
      </c>
      <c r="C18" s="172"/>
      <c r="D18" s="172"/>
      <c r="E18" s="168">
        <f t="shared" si="1"/>
        <v>1287</v>
      </c>
      <c r="F18" s="172"/>
      <c r="G18" s="172"/>
      <c r="H18" s="168">
        <f t="shared" si="2"/>
        <v>1287</v>
      </c>
      <c r="I18" s="172">
        <v>962</v>
      </c>
      <c r="J18" s="172">
        <v>37</v>
      </c>
      <c r="K18" s="172"/>
      <c r="L18" s="168">
        <f t="shared" si="3"/>
        <v>999</v>
      </c>
      <c r="M18" s="172"/>
      <c r="N18" s="172"/>
      <c r="O18" s="168">
        <f t="shared" si="4"/>
        <v>999</v>
      </c>
      <c r="P18" s="168">
        <f t="shared" si="5"/>
        <v>288</v>
      </c>
      <c r="Q18" s="169">
        <f>IF(P18=Баланс!E20,"",P18-Баланс!E20)</f>
      </c>
    </row>
    <row r="19" spans="1:18" ht="15">
      <c r="A19" s="171" t="str">
        <f>Баланс!C21</f>
        <v>Машини, производствено оборудване и апаратура</v>
      </c>
      <c r="B19" s="172">
        <v>2571</v>
      </c>
      <c r="C19" s="172">
        <v>40</v>
      </c>
      <c r="D19" s="172">
        <v>5</v>
      </c>
      <c r="E19" s="168">
        <f t="shared" si="1"/>
        <v>2606</v>
      </c>
      <c r="F19" s="172"/>
      <c r="G19" s="172"/>
      <c r="H19" s="168">
        <f t="shared" si="2"/>
        <v>2606</v>
      </c>
      <c r="I19" s="172">
        <v>1544</v>
      </c>
      <c r="J19" s="172">
        <v>92</v>
      </c>
      <c r="K19" s="172">
        <v>4</v>
      </c>
      <c r="L19" s="168">
        <f t="shared" si="3"/>
        <v>1632</v>
      </c>
      <c r="M19" s="172"/>
      <c r="N19" s="172"/>
      <c r="O19" s="168">
        <f t="shared" si="4"/>
        <v>1632</v>
      </c>
      <c r="P19" s="168">
        <f t="shared" si="5"/>
        <v>974</v>
      </c>
      <c r="Q19" s="169">
        <f>IF(P19=Баланс!E21,"",P19-Баланс!E21)</f>
      </c>
      <c r="R19" s="173"/>
    </row>
    <row r="20" spans="1:18" ht="15">
      <c r="A20" s="171" t="str">
        <f>Баланс!C22</f>
        <v>Съоръжения и други</v>
      </c>
      <c r="B20" s="172">
        <v>3279</v>
      </c>
      <c r="C20" s="172">
        <v>9</v>
      </c>
      <c r="D20" s="172">
        <v>3</v>
      </c>
      <c r="E20" s="168">
        <f t="shared" si="1"/>
        <v>3285</v>
      </c>
      <c r="F20" s="172"/>
      <c r="G20" s="172"/>
      <c r="H20" s="168">
        <f t="shared" si="2"/>
        <v>3285</v>
      </c>
      <c r="I20" s="172">
        <v>2234</v>
      </c>
      <c r="J20" s="172">
        <v>135</v>
      </c>
      <c r="K20" s="172">
        <v>3</v>
      </c>
      <c r="L20" s="168">
        <f t="shared" si="3"/>
        <v>2366</v>
      </c>
      <c r="M20" s="172"/>
      <c r="N20" s="172"/>
      <c r="O20" s="168">
        <f t="shared" si="4"/>
        <v>2366</v>
      </c>
      <c r="P20" s="168">
        <f t="shared" si="5"/>
        <v>919</v>
      </c>
      <c r="Q20" s="169">
        <f>IF(P20=Баланс!E22,"",P20-Баланс!E22)</f>
      </c>
      <c r="R20" s="173"/>
    </row>
    <row r="21" spans="1:17" ht="25.5">
      <c r="A21" s="171" t="str">
        <f>Баланс!C23</f>
        <v>Предоставени аванси и дълготрайни материални активи в процес на изграждане</v>
      </c>
      <c r="B21" s="172">
        <v>1376</v>
      </c>
      <c r="C21" s="172">
        <v>566</v>
      </c>
      <c r="D21" s="172">
        <v>496</v>
      </c>
      <c r="E21" s="168">
        <f t="shared" si="1"/>
        <v>1446</v>
      </c>
      <c r="F21" s="172"/>
      <c r="G21" s="172"/>
      <c r="H21" s="168">
        <f t="shared" si="2"/>
        <v>1446</v>
      </c>
      <c r="I21" s="172"/>
      <c r="J21" s="172"/>
      <c r="K21" s="172"/>
      <c r="L21" s="168">
        <f t="shared" si="3"/>
        <v>0</v>
      </c>
      <c r="M21" s="172"/>
      <c r="N21" s="172"/>
      <c r="O21" s="168">
        <f t="shared" si="4"/>
        <v>0</v>
      </c>
      <c r="P21" s="168">
        <f t="shared" si="5"/>
        <v>1446</v>
      </c>
      <c r="Q21" s="169">
        <f>IF(P21=Баланс!E23,"",P21-Баланс!E23)</f>
      </c>
    </row>
    <row r="22" spans="1:256" s="175" customFormat="1" ht="15">
      <c r="A22" s="170" t="s">
        <v>93</v>
      </c>
      <c r="B22" s="168">
        <f aca="true" t="shared" si="6" ref="B22:P22">B16+B19+B20+B21</f>
        <v>8653</v>
      </c>
      <c r="C22" s="168">
        <f t="shared" si="6"/>
        <v>617</v>
      </c>
      <c r="D22" s="168">
        <f t="shared" si="6"/>
        <v>504</v>
      </c>
      <c r="E22" s="168">
        <f t="shared" si="6"/>
        <v>8766</v>
      </c>
      <c r="F22" s="168">
        <f t="shared" si="6"/>
        <v>0</v>
      </c>
      <c r="G22" s="168">
        <f t="shared" si="6"/>
        <v>0</v>
      </c>
      <c r="H22" s="168">
        <f t="shared" si="6"/>
        <v>8766</v>
      </c>
      <c r="I22" s="168">
        <f t="shared" si="6"/>
        <v>4740</v>
      </c>
      <c r="J22" s="168">
        <f t="shared" si="6"/>
        <v>264</v>
      </c>
      <c r="K22" s="168">
        <f t="shared" si="6"/>
        <v>7</v>
      </c>
      <c r="L22" s="168">
        <f t="shared" si="6"/>
        <v>4997</v>
      </c>
      <c r="M22" s="168">
        <f t="shared" si="6"/>
        <v>0</v>
      </c>
      <c r="N22" s="168">
        <f t="shared" si="6"/>
        <v>0</v>
      </c>
      <c r="O22" s="168">
        <f t="shared" si="6"/>
        <v>4997</v>
      </c>
      <c r="P22" s="168">
        <f t="shared" si="6"/>
        <v>3769</v>
      </c>
      <c r="Q22" s="169">
        <f>IF(P22=Баланс!E24,"",P22-Баланс!E24)</f>
      </c>
      <c r="R22" s="174"/>
      <c r="IV22" s="153"/>
    </row>
    <row r="23" spans="1:256" s="178" customFormat="1" ht="15">
      <c r="A23" s="176" t="s">
        <v>94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69"/>
      <c r="IV23" s="153"/>
    </row>
    <row r="24" spans="1:17" ht="15">
      <c r="A24" s="179" t="str">
        <f>Баланс!C26</f>
        <v>Акции и дялове в  предприятия от група</v>
      </c>
      <c r="B24" s="172"/>
      <c r="C24" s="172"/>
      <c r="D24" s="172"/>
      <c r="E24" s="168">
        <f aca="true" t="shared" si="7" ref="E24:E30">B24+C24-D24</f>
        <v>0</v>
      </c>
      <c r="F24" s="172"/>
      <c r="G24" s="172"/>
      <c r="H24" s="168">
        <f aca="true" t="shared" si="8" ref="H24:H30">E24+F24-G24</f>
        <v>0</v>
      </c>
      <c r="I24" s="172"/>
      <c r="J24" s="172"/>
      <c r="K24" s="172"/>
      <c r="L24" s="168">
        <f aca="true" t="shared" si="9" ref="L24:L30">I24+J24-K24</f>
        <v>0</v>
      </c>
      <c r="M24" s="172"/>
      <c r="N24" s="172"/>
      <c r="O24" s="168">
        <f aca="true" t="shared" si="10" ref="O24:O30">L24+M24-N24</f>
        <v>0</v>
      </c>
      <c r="P24" s="168">
        <f aca="true" t="shared" si="11" ref="P24:P30">H24-O24</f>
        <v>0</v>
      </c>
      <c r="Q24" s="169">
        <f>IF(P24=Баланс!E26,"",P24-Баланс!E26)</f>
      </c>
    </row>
    <row r="25" spans="1:17" ht="15">
      <c r="A25" s="179" t="str">
        <f>Баланс!C27</f>
        <v>Предоставени заеми на предприятия от група</v>
      </c>
      <c r="B25" s="172"/>
      <c r="C25" s="172"/>
      <c r="D25" s="172"/>
      <c r="E25" s="168">
        <f t="shared" si="7"/>
        <v>0</v>
      </c>
      <c r="F25" s="172"/>
      <c r="G25" s="172"/>
      <c r="H25" s="168">
        <f t="shared" si="8"/>
        <v>0</v>
      </c>
      <c r="I25" s="172"/>
      <c r="J25" s="172"/>
      <c r="K25" s="172"/>
      <c r="L25" s="168">
        <f t="shared" si="9"/>
        <v>0</v>
      </c>
      <c r="M25" s="172"/>
      <c r="N25" s="172"/>
      <c r="O25" s="168">
        <f t="shared" si="10"/>
        <v>0</v>
      </c>
      <c r="P25" s="168">
        <f t="shared" si="11"/>
        <v>0</v>
      </c>
      <c r="Q25" s="169">
        <f>IF(P25=Баланс!E27,"",P25-Баланс!E27)</f>
      </c>
    </row>
    <row r="26" spans="1:17" ht="30">
      <c r="A26" s="179" t="str">
        <f>Баланс!C28</f>
        <v>Акции и дялове в асоциирани и смесени предприятия</v>
      </c>
      <c r="B26" s="172"/>
      <c r="C26" s="172"/>
      <c r="D26" s="172"/>
      <c r="E26" s="168">
        <f t="shared" si="7"/>
        <v>0</v>
      </c>
      <c r="F26" s="172"/>
      <c r="G26" s="172"/>
      <c r="H26" s="168">
        <f t="shared" si="8"/>
        <v>0</v>
      </c>
      <c r="I26" s="172"/>
      <c r="J26" s="172"/>
      <c r="K26" s="172"/>
      <c r="L26" s="168">
        <f t="shared" si="9"/>
        <v>0</v>
      </c>
      <c r="M26" s="172"/>
      <c r="N26" s="172"/>
      <c r="O26" s="168">
        <f t="shared" si="10"/>
        <v>0</v>
      </c>
      <c r="P26" s="168">
        <f t="shared" si="11"/>
        <v>0</v>
      </c>
      <c r="Q26" s="169">
        <f>IF(P26=Баланс!E28,"",P26-Баланс!E28)</f>
      </c>
    </row>
    <row r="27" spans="1:17" ht="30">
      <c r="A27" s="179" t="str">
        <f>Баланс!C29</f>
        <v>Предоставени заеми, свързани с асоциирани и смесени предприятия</v>
      </c>
      <c r="B27" s="172"/>
      <c r="C27" s="172"/>
      <c r="D27" s="172"/>
      <c r="E27" s="168">
        <f t="shared" si="7"/>
        <v>0</v>
      </c>
      <c r="F27" s="172"/>
      <c r="G27" s="172"/>
      <c r="H27" s="168">
        <f t="shared" si="8"/>
        <v>0</v>
      </c>
      <c r="I27" s="172"/>
      <c r="J27" s="172"/>
      <c r="K27" s="172"/>
      <c r="L27" s="168">
        <f t="shared" si="9"/>
        <v>0</v>
      </c>
      <c r="M27" s="172"/>
      <c r="N27" s="172"/>
      <c r="O27" s="168">
        <f t="shared" si="10"/>
        <v>0</v>
      </c>
      <c r="P27" s="168">
        <f t="shared" si="11"/>
        <v>0</v>
      </c>
      <c r="Q27" s="169">
        <f>IF(P27=Баланс!E29,"",P27-Баланс!E29)</f>
      </c>
    </row>
    <row r="28" spans="1:17" ht="15">
      <c r="A28" s="179" t="str">
        <f>Баланс!C30</f>
        <v>Дългосрочни инвестиции</v>
      </c>
      <c r="B28" s="172"/>
      <c r="C28" s="172"/>
      <c r="D28" s="172"/>
      <c r="E28" s="168">
        <f t="shared" si="7"/>
        <v>0</v>
      </c>
      <c r="F28" s="172"/>
      <c r="G28" s="172"/>
      <c r="H28" s="168">
        <f t="shared" si="8"/>
        <v>0</v>
      </c>
      <c r="I28" s="172"/>
      <c r="J28" s="172"/>
      <c r="K28" s="172"/>
      <c r="L28" s="168">
        <f t="shared" si="9"/>
        <v>0</v>
      </c>
      <c r="M28" s="172"/>
      <c r="N28" s="172"/>
      <c r="O28" s="168">
        <f t="shared" si="10"/>
        <v>0</v>
      </c>
      <c r="P28" s="168">
        <f t="shared" si="11"/>
        <v>0</v>
      </c>
      <c r="Q28" s="169">
        <f>IF(P28=Баланс!E30,"",P28-Баланс!E30)</f>
      </c>
    </row>
    <row r="29" spans="1:17" ht="15">
      <c r="A29" s="179" t="str">
        <f>Баланс!C31</f>
        <v>Други заеми</v>
      </c>
      <c r="B29" s="172"/>
      <c r="C29" s="172"/>
      <c r="D29" s="172"/>
      <c r="E29" s="168">
        <f t="shared" si="7"/>
        <v>0</v>
      </c>
      <c r="F29" s="172"/>
      <c r="G29" s="172"/>
      <c r="H29" s="168">
        <f t="shared" si="8"/>
        <v>0</v>
      </c>
      <c r="I29" s="172"/>
      <c r="J29" s="172"/>
      <c r="K29" s="172"/>
      <c r="L29" s="168">
        <f t="shared" si="9"/>
        <v>0</v>
      </c>
      <c r="M29" s="172"/>
      <c r="N29" s="172"/>
      <c r="O29" s="168">
        <f t="shared" si="10"/>
        <v>0</v>
      </c>
      <c r="P29" s="168">
        <f t="shared" si="11"/>
        <v>0</v>
      </c>
      <c r="Q29" s="169">
        <f>IF(P29=Баланс!E31,"",P29-Баланс!E31)</f>
      </c>
    </row>
    <row r="30" spans="1:17" ht="15">
      <c r="A30" s="179" t="str">
        <f>Баланс!C32</f>
        <v>Изкупени собствени акции номинална стойност</v>
      </c>
      <c r="B30" s="172"/>
      <c r="C30" s="172"/>
      <c r="D30" s="172"/>
      <c r="E30" s="168">
        <f t="shared" si="7"/>
        <v>0</v>
      </c>
      <c r="F30" s="172"/>
      <c r="G30" s="172"/>
      <c r="H30" s="168">
        <f t="shared" si="8"/>
        <v>0</v>
      </c>
      <c r="I30" s="172"/>
      <c r="J30" s="172"/>
      <c r="K30" s="172"/>
      <c r="L30" s="168">
        <f t="shared" si="9"/>
        <v>0</v>
      </c>
      <c r="M30" s="172"/>
      <c r="N30" s="172"/>
      <c r="O30" s="168">
        <f t="shared" si="10"/>
        <v>0</v>
      </c>
      <c r="P30" s="168">
        <f t="shared" si="11"/>
        <v>0</v>
      </c>
      <c r="Q30" s="169">
        <f>IF(P30=Баланс!E32,"",P30-Баланс!E32)</f>
      </c>
    </row>
    <row r="31" spans="1:17" ht="15" hidden="1">
      <c r="A31" s="180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9">
        <f>IF(P31=Баланс!E33,"",P31-Баланс!E33)</f>
      </c>
    </row>
    <row r="32" spans="1:256" s="181" customFormat="1" ht="15">
      <c r="A32" s="170" t="s">
        <v>95</v>
      </c>
      <c r="B32" s="168">
        <f aca="true" t="shared" si="12" ref="B32:P32">SUM(B24:B31)</f>
        <v>0</v>
      </c>
      <c r="C32" s="168">
        <f t="shared" si="12"/>
        <v>0</v>
      </c>
      <c r="D32" s="168">
        <f t="shared" si="12"/>
        <v>0</v>
      </c>
      <c r="E32" s="168">
        <f t="shared" si="12"/>
        <v>0</v>
      </c>
      <c r="F32" s="168">
        <f t="shared" si="12"/>
        <v>0</v>
      </c>
      <c r="G32" s="168">
        <f t="shared" si="12"/>
        <v>0</v>
      </c>
      <c r="H32" s="168">
        <f t="shared" si="12"/>
        <v>0</v>
      </c>
      <c r="I32" s="168">
        <f t="shared" si="12"/>
        <v>0</v>
      </c>
      <c r="J32" s="168">
        <f t="shared" si="12"/>
        <v>0</v>
      </c>
      <c r="K32" s="168">
        <f t="shared" si="12"/>
        <v>0</v>
      </c>
      <c r="L32" s="168">
        <f t="shared" si="12"/>
        <v>0</v>
      </c>
      <c r="M32" s="168">
        <f t="shared" si="12"/>
        <v>0</v>
      </c>
      <c r="N32" s="168">
        <f t="shared" si="12"/>
        <v>0</v>
      </c>
      <c r="O32" s="168">
        <f t="shared" si="12"/>
        <v>0</v>
      </c>
      <c r="P32" s="168">
        <f t="shared" si="12"/>
        <v>0</v>
      </c>
      <c r="Q32" s="169">
        <f>IF(P32=Баланс!E33,"",P32-Баланс!E33)</f>
      </c>
      <c r="IV32" s="153"/>
    </row>
    <row r="33" spans="1:256" s="181" customFormat="1" ht="15">
      <c r="A33" s="170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IV33" s="153"/>
    </row>
    <row r="34" spans="1:256" s="181" customFormat="1" ht="15">
      <c r="A34" s="182" t="s">
        <v>54</v>
      </c>
      <c r="B34" s="183">
        <f>Баланс!F35</f>
        <v>73</v>
      </c>
      <c r="C34" s="184"/>
      <c r="D34" s="184">
        <v>0</v>
      </c>
      <c r="E34" s="168">
        <f>B34+C34-D34</f>
        <v>73</v>
      </c>
      <c r="F34" s="184"/>
      <c r="G34" s="184"/>
      <c r="H34" s="168">
        <f>E34+F34-G34</f>
        <v>73</v>
      </c>
      <c r="I34" s="184"/>
      <c r="J34" s="184"/>
      <c r="K34" s="184"/>
      <c r="L34" s="168">
        <f>I34+J34-K34</f>
        <v>0</v>
      </c>
      <c r="M34" s="184"/>
      <c r="N34" s="184"/>
      <c r="O34" s="168">
        <f>L34+M34-N34</f>
        <v>0</v>
      </c>
      <c r="P34" s="168">
        <f>H34-O34</f>
        <v>73</v>
      </c>
      <c r="Q34" s="169">
        <f>IF(P34=Баланс!E35,"",P34-Баланс!E35)</f>
      </c>
      <c r="IV34" s="153"/>
    </row>
    <row r="35" spans="1:256" s="181" customFormat="1" ht="1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69">
        <f>IF(P35=Баланс!E37,"",P35-Баланс!E37)</f>
      </c>
      <c r="IV35" s="153"/>
    </row>
    <row r="36" spans="1:256" s="181" customFormat="1" ht="15">
      <c r="A36" s="182" t="s">
        <v>96</v>
      </c>
      <c r="B36" s="183">
        <f aca="true" t="shared" si="13" ref="B36:P36">B14+B22+B32+B34</f>
        <v>8979</v>
      </c>
      <c r="C36" s="183">
        <f t="shared" si="13"/>
        <v>630</v>
      </c>
      <c r="D36" s="183">
        <f t="shared" si="13"/>
        <v>504</v>
      </c>
      <c r="E36" s="183">
        <f t="shared" si="13"/>
        <v>9105</v>
      </c>
      <c r="F36" s="183">
        <f t="shared" si="13"/>
        <v>0</v>
      </c>
      <c r="G36" s="183">
        <f t="shared" si="13"/>
        <v>0</v>
      </c>
      <c r="H36" s="183">
        <f t="shared" si="13"/>
        <v>9105</v>
      </c>
      <c r="I36" s="183">
        <f t="shared" si="13"/>
        <v>4930</v>
      </c>
      <c r="J36" s="183">
        <f t="shared" si="13"/>
        <v>295</v>
      </c>
      <c r="K36" s="183">
        <f t="shared" si="13"/>
        <v>7</v>
      </c>
      <c r="L36" s="183">
        <f t="shared" si="13"/>
        <v>5218</v>
      </c>
      <c r="M36" s="183">
        <f t="shared" si="13"/>
        <v>0</v>
      </c>
      <c r="N36" s="183">
        <f t="shared" si="13"/>
        <v>0</v>
      </c>
      <c r="O36" s="183">
        <f t="shared" si="13"/>
        <v>5218</v>
      </c>
      <c r="P36" s="183">
        <f t="shared" si="13"/>
        <v>3887</v>
      </c>
      <c r="Q36" s="169">
        <f>IF(P36=Баланс!E36,"",P36-Баланс!E36)</f>
      </c>
      <c r="IV36" s="153"/>
    </row>
    <row r="37" spans="1:255" s="186" customFormat="1" ht="14.25">
      <c r="A37" s="17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  <c r="IT37" s="175"/>
      <c r="IU37" s="175"/>
    </row>
    <row r="38" spans="1:255" s="186" customFormat="1" ht="2.25" customHeight="1">
      <c r="A38" s="187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O38" s="185"/>
      <c r="P38" s="188">
        <f>IF(P36=Баланс!E36,0,Баланс!E36-P36)</f>
        <v>0</v>
      </c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</row>
    <row r="39" spans="1:255" s="186" customFormat="1" ht="3" customHeight="1" hidden="1">
      <c r="A39" s="17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>
        <f>IF(P36=Баланс!E36,0,"Нетекущите активи не съответстват на баланса")</f>
        <v>0</v>
      </c>
      <c r="O39" s="185"/>
      <c r="P39" s="18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/>
      <c r="GX39" s="175"/>
      <c r="GY39" s="175"/>
      <c r="GZ39" s="175"/>
      <c r="HA39" s="175"/>
      <c r="HB39" s="175"/>
      <c r="HC39" s="175"/>
      <c r="HD39" s="175"/>
      <c r="HE39" s="175"/>
      <c r="HF39" s="175"/>
      <c r="HG39" s="175"/>
      <c r="HH39" s="175"/>
      <c r="HI39" s="175"/>
      <c r="HJ39" s="175"/>
      <c r="HK39" s="175"/>
      <c r="HL39" s="175"/>
      <c r="HM39" s="175"/>
      <c r="HN39" s="175"/>
      <c r="HO39" s="175"/>
      <c r="HP39" s="175"/>
      <c r="HQ39" s="175"/>
      <c r="HR39" s="175"/>
      <c r="HS39" s="175"/>
      <c r="HT39" s="175"/>
      <c r="HU39" s="175"/>
      <c r="HV39" s="175"/>
      <c r="HW39" s="175"/>
      <c r="HX39" s="175"/>
      <c r="HY39" s="175"/>
      <c r="HZ39" s="175"/>
      <c r="IA39" s="175"/>
      <c r="IB39" s="175"/>
      <c r="IC39" s="175"/>
      <c r="ID39" s="175"/>
      <c r="IE39" s="175"/>
      <c r="IF39" s="175"/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  <c r="IT39" s="175"/>
      <c r="IU39" s="175"/>
    </row>
    <row r="40" spans="1:6" s="148" customFormat="1" ht="15.75">
      <c r="A40" s="678" t="str">
        <f>CONCATENATE("Дата на съставяне: ",TEXT(data_na_sustaviane,"dd.mm.yyyy"))</f>
        <v>Дата на съставяне: 16.03.2020 г.</v>
      </c>
      <c r="B40" s="678"/>
      <c r="C40" s="20"/>
      <c r="D40" s="19"/>
      <c r="E40" s="19"/>
      <c r="F40" s="21"/>
    </row>
    <row r="41" spans="1:11" s="148" customFormat="1" ht="15.75">
      <c r="A41" s="679" t="str">
        <f>CONCATENATE(grad)</f>
        <v>гр. Хасково</v>
      </c>
      <c r="B41" s="679"/>
      <c r="C41" s="12"/>
      <c r="D41" s="12"/>
      <c r="E41" s="12"/>
      <c r="F41" s="12"/>
      <c r="G41" s="10"/>
      <c r="H41" s="10"/>
      <c r="I41" s="10"/>
      <c r="J41" s="10"/>
      <c r="K41" s="10"/>
    </row>
    <row r="42" spans="1:6" s="148" customFormat="1" ht="21.75" customHeight="1">
      <c r="A42" s="195"/>
      <c r="B42" s="195"/>
      <c r="C42" s="13"/>
      <c r="D42" s="12"/>
      <c r="E42" s="13"/>
      <c r="F42" s="12"/>
    </row>
    <row r="43" spans="1:6" s="67" customFormat="1" ht="32.25" customHeight="1">
      <c r="A43" s="679" t="str">
        <f>'Данни на фирмата'!A6</f>
        <v>Управител:</v>
      </c>
      <c r="B43" s="679"/>
      <c r="C43" s="15"/>
      <c r="D43" s="15"/>
      <c r="E43" s="15"/>
      <c r="F43" s="9"/>
    </row>
    <row r="44" spans="1:6" s="67" customFormat="1" ht="15.75">
      <c r="A44" s="678" t="str">
        <f>predstavliavasht</f>
        <v>инж.Тодор  Райчев Марков</v>
      </c>
      <c r="B44" s="678"/>
      <c r="C44" s="9"/>
      <c r="D44" s="15"/>
      <c r="E44" s="15"/>
      <c r="F44" s="15"/>
    </row>
    <row r="45" spans="1:6" s="67" customFormat="1" ht="25.5" customHeight="1">
      <c r="A45" s="196"/>
      <c r="B45" s="197"/>
      <c r="C45" s="15"/>
      <c r="D45" s="149"/>
      <c r="E45" s="15"/>
      <c r="F45" s="9"/>
    </row>
    <row r="46" spans="1:15" s="67" customFormat="1" ht="45" customHeight="1">
      <c r="A46" s="679" t="str">
        <f>'Данни на фирмата'!A7</f>
        <v>Главен счетоводител/Съставител :</v>
      </c>
      <c r="B46" s="679"/>
      <c r="C46" s="15"/>
      <c r="D46" s="15"/>
      <c r="E46" s="15"/>
      <c r="F46" s="9"/>
      <c r="O46" s="67">
        <v>5</v>
      </c>
    </row>
    <row r="47" spans="1:6" s="67" customFormat="1" ht="15.75">
      <c r="A47" s="679" t="str">
        <f>sustavitel</f>
        <v> Снежана  Петрова  Маркова</v>
      </c>
      <c r="B47" s="679"/>
      <c r="C47" s="15"/>
      <c r="D47" s="15"/>
      <c r="E47" s="15"/>
      <c r="F47" s="9"/>
    </row>
    <row r="48" s="67" customFormat="1" ht="15"/>
    <row r="49" s="67" customFormat="1" ht="15"/>
    <row r="50" s="67" customFormat="1" ht="15">
      <c r="A50" s="42" t="s">
        <v>213</v>
      </c>
    </row>
    <row r="51" s="67" customFormat="1" ht="15">
      <c r="A51" s="42" t="s">
        <v>142</v>
      </c>
    </row>
    <row r="52" s="67" customFormat="1" ht="15">
      <c r="A52" s="42" t="s">
        <v>143</v>
      </c>
    </row>
  </sheetData>
  <sheetProtection sheet="1"/>
  <mergeCells count="16">
    <mergeCell ref="A40:B40"/>
    <mergeCell ref="A41:B41"/>
    <mergeCell ref="A43:B43"/>
    <mergeCell ref="A44:B44"/>
    <mergeCell ref="A46:B46"/>
    <mergeCell ref="A47:B47"/>
    <mergeCell ref="A2:P2"/>
    <mergeCell ref="A3:P3"/>
    <mergeCell ref="A4:P4"/>
    <mergeCell ref="B6:E6"/>
    <mergeCell ref="F6:G6"/>
    <mergeCell ref="I6:L6"/>
    <mergeCell ref="M6:N6"/>
    <mergeCell ref="O6:O7"/>
    <mergeCell ref="P6:P7"/>
    <mergeCell ref="A6:A7"/>
  </mergeCells>
  <hyperlinks>
    <hyperlink ref="A1" location="Съдържание!A1" display="Обратно към Съдържание"/>
  </hyperlinks>
  <printOptions horizontalCentered="1"/>
  <pageMargins left="0.19652777777777777" right="0.19652777777777777" top="0.5902777777777778" bottom="0.27569444444444446" header="0.5118055555555556" footer="0.5118055555555556"/>
  <pageSetup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theme="3" tint="0.7999799847602844"/>
    <pageSetUpPr fitToPage="1"/>
  </sheetPr>
  <dimension ref="A11:L51"/>
  <sheetViews>
    <sheetView view="pageBreakPreview" zoomScale="60" zoomScalePageLayoutView="0" workbookViewId="0" topLeftCell="A22">
      <selection activeCell="A11" sqref="A11:L11"/>
    </sheetView>
  </sheetViews>
  <sheetFormatPr defaultColWidth="9.140625" defaultRowHeight="12.75"/>
  <cols>
    <col min="1" max="1" width="9.140625" style="554" customWidth="1"/>
    <col min="2" max="2" width="12.28125" style="554" customWidth="1"/>
    <col min="3" max="11" width="9.140625" style="554" customWidth="1"/>
    <col min="12" max="12" width="12.140625" style="554" customWidth="1"/>
    <col min="13" max="16384" width="9.140625" style="554" customWidth="1"/>
  </cols>
  <sheetData>
    <row r="11" spans="1:12" ht="60.75" customHeight="1">
      <c r="A11" s="684" t="str">
        <f>'Данни на фирмата'!B1</f>
        <v>ВОДОСНАБДЯВАНЕ И КАНАЛИЗАЦИЯ ЕООД</v>
      </c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4"/>
    </row>
    <row r="12" spans="1:12" ht="48" customHeight="1">
      <c r="A12" s="684" t="s">
        <v>339</v>
      </c>
      <c r="B12" s="687"/>
      <c r="C12" s="687"/>
      <c r="D12" s="687"/>
      <c r="E12" s="687"/>
      <c r="F12" s="687"/>
      <c r="G12" s="687"/>
      <c r="H12" s="687"/>
      <c r="I12" s="687"/>
      <c r="J12" s="687"/>
      <c r="K12" s="687"/>
      <c r="L12" s="687"/>
    </row>
    <row r="14" spans="1:12" ht="163.5" customHeight="1">
      <c r="A14" s="681" t="s">
        <v>338</v>
      </c>
      <c r="B14" s="686"/>
      <c r="C14" s="686"/>
      <c r="D14" s="686"/>
      <c r="E14" s="686"/>
      <c r="F14" s="686"/>
      <c r="G14" s="686"/>
      <c r="H14" s="686"/>
      <c r="I14" s="686"/>
      <c r="J14" s="686"/>
      <c r="K14" s="686"/>
      <c r="L14" s="686"/>
    </row>
    <row r="15" spans="1:12" ht="40.5" customHeight="1">
      <c r="A15" s="681" t="s">
        <v>292</v>
      </c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</row>
    <row r="16" spans="1:12" ht="31.5" customHeight="1">
      <c r="A16" s="682" t="s">
        <v>293</v>
      </c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</row>
    <row r="17" spans="1:12" ht="71.25" customHeight="1">
      <c r="A17" s="685">
        <f>'Данни на фирмата'!B9</f>
        <v>43830</v>
      </c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</row>
    <row r="18" spans="1:12" ht="27">
      <c r="A18" s="683" t="s">
        <v>294</v>
      </c>
      <c r="B18" s="683"/>
      <c r="C18" s="683"/>
      <c r="D18" s="683"/>
      <c r="E18" s="683"/>
      <c r="F18" s="683"/>
      <c r="G18" s="683"/>
      <c r="H18" s="683"/>
      <c r="I18" s="683"/>
      <c r="J18" s="683"/>
      <c r="K18" s="683"/>
      <c r="L18" s="683"/>
    </row>
    <row r="39" ht="18" customHeight="1"/>
    <row r="51" spans="1:12" ht="19.5">
      <c r="A51" s="680" t="str">
        <f>CONCATENATE(TEXT(data_na_sustaviane,"dd.mm.yyyy"),"  -  ",grad)</f>
        <v>16.03.2020 г.  -  гр. Хасково</v>
      </c>
      <c r="B51" s="680"/>
      <c r="C51" s="680"/>
      <c r="D51" s="680"/>
      <c r="E51" s="680"/>
      <c r="F51" s="680"/>
      <c r="G51" s="680"/>
      <c r="H51" s="680"/>
      <c r="I51" s="680"/>
      <c r="J51" s="680"/>
      <c r="K51" s="680"/>
      <c r="L51" s="680"/>
    </row>
  </sheetData>
  <sheetProtection/>
  <mergeCells count="8">
    <mergeCell ref="A51:L51"/>
    <mergeCell ref="A15:L15"/>
    <mergeCell ref="A16:L16"/>
    <mergeCell ref="A18:L18"/>
    <mergeCell ref="A11:L11"/>
    <mergeCell ref="A17:L17"/>
    <mergeCell ref="A14:L14"/>
    <mergeCell ref="A12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al">
    <tabColor theme="3" tint="0.7999799847602844"/>
  </sheetPr>
  <dimension ref="A1:N56"/>
  <sheetViews>
    <sheetView showGridLines="0" showZeros="0" view="pageBreakPreview" zoomScaleNormal="95" zoomScaleSheetLayoutView="100" zoomScalePageLayoutView="0" workbookViewId="0" topLeftCell="A40">
      <selection activeCell="D51" sqref="D51"/>
    </sheetView>
  </sheetViews>
  <sheetFormatPr defaultColWidth="6.8515625" defaultRowHeight="12.75"/>
  <cols>
    <col min="1" max="1" width="3.00390625" style="199" customWidth="1"/>
    <col min="2" max="2" width="6.57421875" style="200" hidden="1" customWidth="1"/>
    <col min="3" max="3" width="10.28125" style="200" customWidth="1"/>
    <col min="4" max="4" width="35.8515625" style="200" customWidth="1"/>
    <col min="5" max="5" width="9.421875" style="200" customWidth="1"/>
    <col min="6" max="7" width="12.00390625" style="200" customWidth="1"/>
    <col min="8" max="8" width="3.421875" style="199" customWidth="1"/>
    <col min="9" max="9" width="12.00390625" style="200" hidden="1" customWidth="1"/>
    <col min="10" max="10" width="43.00390625" style="200" customWidth="1"/>
    <col min="11" max="11" width="9.421875" style="200" customWidth="1"/>
    <col min="12" max="13" width="12.140625" style="200" customWidth="1"/>
    <col min="14" max="14" width="6.8515625" style="200" customWidth="1"/>
    <col min="15" max="16384" width="6.8515625" style="200" customWidth="1"/>
  </cols>
  <sheetData>
    <row r="1" spans="3:13" ht="37.5" customHeight="1">
      <c r="C1" s="688" t="s">
        <v>53</v>
      </c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3:13" ht="23.25" customHeight="1">
      <c r="C2" s="688" t="s">
        <v>337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</row>
    <row r="3" spans="3:13" ht="22.5" customHeight="1">
      <c r="C3" s="688" t="s">
        <v>342</v>
      </c>
      <c r="D3" s="688"/>
      <c r="E3" s="688"/>
      <c r="F3" s="688"/>
      <c r="G3" s="688"/>
      <c r="H3" s="688"/>
      <c r="I3" s="688"/>
      <c r="J3" s="688"/>
      <c r="K3" s="688"/>
      <c r="L3" s="688"/>
      <c r="M3" s="688"/>
    </row>
    <row r="4" spans="3:13" ht="22.5" customHeight="1">
      <c r="C4" s="555"/>
      <c r="D4" s="555"/>
      <c r="E4" s="555"/>
      <c r="F4" s="555"/>
      <c r="G4" s="555"/>
      <c r="H4" s="555" t="s">
        <v>340</v>
      </c>
      <c r="I4" s="555"/>
      <c r="J4" s="555"/>
      <c r="K4" s="555"/>
      <c r="L4" s="555"/>
      <c r="M4" s="555"/>
    </row>
    <row r="5" spans="3:13" ht="6" customHeight="1" thickBot="1"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</row>
    <row r="6" spans="1:14" ht="21" customHeight="1">
      <c r="A6" s="616" t="s">
        <v>147</v>
      </c>
      <c r="B6" s="617"/>
      <c r="C6" s="617"/>
      <c r="D6" s="617"/>
      <c r="E6" s="689"/>
      <c r="F6" s="617"/>
      <c r="G6" s="690"/>
      <c r="H6" s="691" t="s">
        <v>148</v>
      </c>
      <c r="I6" s="613"/>
      <c r="J6" s="613"/>
      <c r="K6" s="613"/>
      <c r="L6" s="613"/>
      <c r="M6" s="614"/>
      <c r="N6" s="201"/>
    </row>
    <row r="7" spans="1:14" ht="15" customHeight="1">
      <c r="A7" s="619" t="s">
        <v>150</v>
      </c>
      <c r="B7" s="620"/>
      <c r="C7" s="620"/>
      <c r="D7" s="621"/>
      <c r="E7" s="695" t="s">
        <v>334</v>
      </c>
      <c r="F7" s="609" t="s">
        <v>149</v>
      </c>
      <c r="G7" s="694"/>
      <c r="H7" s="625" t="s">
        <v>274</v>
      </c>
      <c r="I7" s="608"/>
      <c r="J7" s="608"/>
      <c r="K7" s="695" t="s">
        <v>334</v>
      </c>
      <c r="L7" s="620" t="s">
        <v>149</v>
      </c>
      <c r="M7" s="620"/>
      <c r="N7" s="201"/>
    </row>
    <row r="8" spans="1:14" ht="22.5" customHeight="1">
      <c r="A8" s="619"/>
      <c r="B8" s="620"/>
      <c r="C8" s="620"/>
      <c r="D8" s="621"/>
      <c r="E8" s="696"/>
      <c r="F8" s="370" t="s">
        <v>151</v>
      </c>
      <c r="G8" s="371" t="s">
        <v>152</v>
      </c>
      <c r="H8" s="692"/>
      <c r="I8" s="693"/>
      <c r="J8" s="693"/>
      <c r="K8" s="696"/>
      <c r="L8" s="448" t="s">
        <v>151</v>
      </c>
      <c r="M8" s="448" t="s">
        <v>152</v>
      </c>
      <c r="N8" s="201"/>
    </row>
    <row r="9" spans="1:14" ht="10.5" customHeight="1">
      <c r="A9" s="625" t="s">
        <v>153</v>
      </c>
      <c r="B9" s="608"/>
      <c r="C9" s="608"/>
      <c r="D9" s="608"/>
      <c r="E9" s="480"/>
      <c r="F9" s="202">
        <v>1</v>
      </c>
      <c r="G9" s="203">
        <v>2</v>
      </c>
      <c r="H9" s="697" t="s">
        <v>153</v>
      </c>
      <c r="I9" s="698"/>
      <c r="J9" s="698"/>
      <c r="K9" s="448"/>
      <c r="L9" s="204">
        <v>1</v>
      </c>
      <c r="M9" s="205">
        <v>2</v>
      </c>
      <c r="N9" s="201"/>
    </row>
    <row r="10" spans="1:14" ht="29.25" customHeight="1">
      <c r="A10" s="127" t="s">
        <v>11</v>
      </c>
      <c r="B10" s="115">
        <v>1</v>
      </c>
      <c r="C10" s="622" t="s">
        <v>156</v>
      </c>
      <c r="D10" s="622"/>
      <c r="E10" s="460"/>
      <c r="F10" s="373"/>
      <c r="G10" s="374"/>
      <c r="H10" s="127" t="s">
        <v>231</v>
      </c>
      <c r="I10" s="118">
        <v>1</v>
      </c>
      <c r="J10" s="369" t="s">
        <v>155</v>
      </c>
      <c r="K10" s="460"/>
      <c r="L10" s="383"/>
      <c r="M10" s="384"/>
      <c r="N10" s="201"/>
    </row>
    <row r="11" spans="1:14" ht="23.25" customHeight="1">
      <c r="A11" s="127" t="s">
        <v>296</v>
      </c>
      <c r="B11" s="116">
        <v>1</v>
      </c>
      <c r="C11" s="623" t="s">
        <v>157</v>
      </c>
      <c r="D11" s="623"/>
      <c r="E11" s="471"/>
      <c r="F11" s="461"/>
      <c r="G11" s="374"/>
      <c r="H11" s="127" t="s">
        <v>296</v>
      </c>
      <c r="I11" s="117">
        <v>1</v>
      </c>
      <c r="J11" s="367" t="s">
        <v>38</v>
      </c>
      <c r="K11" s="471"/>
      <c r="L11" s="385">
        <v>339</v>
      </c>
      <c r="M11" s="386">
        <v>339</v>
      </c>
      <c r="N11" s="201"/>
    </row>
    <row r="12" spans="1:14" ht="31.5" customHeight="1">
      <c r="A12" s="206" t="s">
        <v>298</v>
      </c>
      <c r="B12" s="117">
        <v>1</v>
      </c>
      <c r="C12" s="624" t="s">
        <v>160</v>
      </c>
      <c r="D12" s="624"/>
      <c r="E12" s="472"/>
      <c r="F12" s="462">
        <v>45</v>
      </c>
      <c r="G12" s="375">
        <v>63</v>
      </c>
      <c r="H12" s="207" t="s">
        <v>297</v>
      </c>
      <c r="I12" s="117">
        <v>1</v>
      </c>
      <c r="J12" s="367" t="s">
        <v>41</v>
      </c>
      <c r="K12" s="471"/>
      <c r="L12" s="387"/>
      <c r="M12" s="388"/>
      <c r="N12" s="201"/>
    </row>
    <row r="13" spans="1:14" ht="20.25">
      <c r="A13" s="211" t="s">
        <v>230</v>
      </c>
      <c r="B13" s="117">
        <v>1</v>
      </c>
      <c r="C13" s="623" t="s">
        <v>306</v>
      </c>
      <c r="D13" s="623"/>
      <c r="E13" s="530">
        <v>3</v>
      </c>
      <c r="F13" s="463">
        <v>45</v>
      </c>
      <c r="G13" s="376">
        <v>63</v>
      </c>
      <c r="H13" s="208" t="s">
        <v>298</v>
      </c>
      <c r="I13" s="117">
        <v>1</v>
      </c>
      <c r="J13" s="366" t="s">
        <v>45</v>
      </c>
      <c r="K13" s="472"/>
      <c r="L13" s="389">
        <v>2007</v>
      </c>
      <c r="M13" s="390">
        <v>1993</v>
      </c>
      <c r="N13" s="201"/>
    </row>
    <row r="14" spans="1:14" ht="27" customHeight="1">
      <c r="A14" s="127" t="s">
        <v>297</v>
      </c>
      <c r="B14" s="116">
        <v>1</v>
      </c>
      <c r="C14" s="623" t="s">
        <v>165</v>
      </c>
      <c r="D14" s="623"/>
      <c r="E14" s="471"/>
      <c r="F14" s="463"/>
      <c r="G14" s="376"/>
      <c r="H14" s="209" t="s">
        <v>230</v>
      </c>
      <c r="I14" s="117">
        <v>1</v>
      </c>
      <c r="J14" s="367" t="s">
        <v>299</v>
      </c>
      <c r="K14" s="471"/>
      <c r="L14" s="387">
        <v>2007</v>
      </c>
      <c r="M14" s="388">
        <v>1993</v>
      </c>
      <c r="N14" s="201"/>
    </row>
    <row r="15" spans="1:14" ht="29.25" customHeight="1">
      <c r="A15" s="206" t="s">
        <v>298</v>
      </c>
      <c r="B15" s="117">
        <v>1</v>
      </c>
      <c r="C15" s="624" t="s">
        <v>166</v>
      </c>
      <c r="D15" s="624"/>
      <c r="E15" s="472"/>
      <c r="F15" s="461">
        <v>430</v>
      </c>
      <c r="G15" s="374">
        <v>465</v>
      </c>
      <c r="H15" s="210" t="s">
        <v>301</v>
      </c>
      <c r="I15" s="117">
        <v>1</v>
      </c>
      <c r="J15" s="367" t="s">
        <v>167</v>
      </c>
      <c r="K15" s="471"/>
      <c r="L15" s="387"/>
      <c r="M15" s="388"/>
      <c r="N15" s="201"/>
    </row>
    <row r="16" spans="1:14" ht="27.75" customHeight="1">
      <c r="A16" s="206" t="s">
        <v>300</v>
      </c>
      <c r="B16" s="117">
        <v>1</v>
      </c>
      <c r="C16" s="624" t="s">
        <v>275</v>
      </c>
      <c r="D16" s="624"/>
      <c r="E16" s="472"/>
      <c r="F16" s="462">
        <v>142</v>
      </c>
      <c r="G16" s="375">
        <v>140</v>
      </c>
      <c r="H16" s="208" t="s">
        <v>300</v>
      </c>
      <c r="I16" s="364">
        <v>1</v>
      </c>
      <c r="J16" s="366" t="s">
        <v>280</v>
      </c>
      <c r="K16" s="472"/>
      <c r="L16" s="389">
        <v>687</v>
      </c>
      <c r="M16" s="390">
        <v>686</v>
      </c>
      <c r="N16" s="201"/>
    </row>
    <row r="17" spans="1:14" ht="26.25" customHeight="1">
      <c r="A17" s="206" t="s">
        <v>300</v>
      </c>
      <c r="B17" s="117">
        <v>1</v>
      </c>
      <c r="C17" s="624" t="s">
        <v>276</v>
      </c>
      <c r="D17" s="624"/>
      <c r="E17" s="472"/>
      <c r="F17" s="462">
        <v>288</v>
      </c>
      <c r="G17" s="375">
        <v>325</v>
      </c>
      <c r="H17" s="208" t="s">
        <v>300</v>
      </c>
      <c r="I17" s="364">
        <v>1</v>
      </c>
      <c r="J17" s="366" t="s">
        <v>281</v>
      </c>
      <c r="K17" s="472"/>
      <c r="L17" s="389">
        <v>-1022</v>
      </c>
      <c r="M17" s="390">
        <v>-1021</v>
      </c>
      <c r="N17" s="201"/>
    </row>
    <row r="18" spans="1:14" ht="25.5" customHeight="1">
      <c r="A18" s="206" t="s">
        <v>302</v>
      </c>
      <c r="B18" s="117">
        <v>1</v>
      </c>
      <c r="C18" s="624" t="s">
        <v>168</v>
      </c>
      <c r="D18" s="624"/>
      <c r="E18" s="472"/>
      <c r="F18" s="462">
        <v>974</v>
      </c>
      <c r="G18" s="375">
        <v>1027</v>
      </c>
      <c r="H18" s="209" t="s">
        <v>230</v>
      </c>
      <c r="I18" s="117">
        <v>1</v>
      </c>
      <c r="J18" s="367" t="s">
        <v>304</v>
      </c>
      <c r="K18" s="471"/>
      <c r="L18" s="387">
        <v>-335</v>
      </c>
      <c r="M18" s="388">
        <v>-335</v>
      </c>
      <c r="N18" s="201"/>
    </row>
    <row r="19" spans="1:14" ht="34.5" customHeight="1">
      <c r="A19" s="206" t="s">
        <v>303</v>
      </c>
      <c r="B19" s="117">
        <v>1</v>
      </c>
      <c r="C19" s="624" t="s">
        <v>169</v>
      </c>
      <c r="D19" s="624"/>
      <c r="E19" s="472"/>
      <c r="F19" s="462">
        <v>919</v>
      </c>
      <c r="G19" s="375">
        <v>1045</v>
      </c>
      <c r="H19" s="210" t="s">
        <v>305</v>
      </c>
      <c r="I19" s="364">
        <v>1</v>
      </c>
      <c r="J19" s="367" t="s">
        <v>171</v>
      </c>
      <c r="K19" s="471"/>
      <c r="L19" s="387">
        <v>-1358</v>
      </c>
      <c r="M19" s="391">
        <v>14</v>
      </c>
      <c r="N19" s="201"/>
    </row>
    <row r="20" spans="1:14" ht="34.5" customHeight="1" thickBot="1">
      <c r="A20" s="206" t="s">
        <v>309</v>
      </c>
      <c r="B20" s="117">
        <v>1</v>
      </c>
      <c r="C20" s="624" t="s">
        <v>170</v>
      </c>
      <c r="D20" s="624"/>
      <c r="E20" s="472"/>
      <c r="F20" s="462">
        <v>1446</v>
      </c>
      <c r="G20" s="375">
        <v>1376</v>
      </c>
      <c r="H20" s="213" t="s">
        <v>230</v>
      </c>
      <c r="I20" s="125">
        <v>1</v>
      </c>
      <c r="J20" s="362" t="s">
        <v>307</v>
      </c>
      <c r="K20" s="531">
        <v>9</v>
      </c>
      <c r="L20" s="392">
        <v>653</v>
      </c>
      <c r="M20" s="393">
        <v>2011</v>
      </c>
      <c r="N20" s="201"/>
    </row>
    <row r="21" spans="1:14" ht="24" customHeight="1">
      <c r="A21" s="211" t="s">
        <v>230</v>
      </c>
      <c r="B21" s="117">
        <v>1</v>
      </c>
      <c r="C21" s="623" t="s">
        <v>299</v>
      </c>
      <c r="D21" s="623"/>
      <c r="E21" s="530">
        <v>3</v>
      </c>
      <c r="F21" s="463">
        <v>3769</v>
      </c>
      <c r="G21" s="376">
        <v>3913</v>
      </c>
      <c r="H21" s="214" t="s">
        <v>19</v>
      </c>
      <c r="I21" s="124">
        <v>1</v>
      </c>
      <c r="J21" s="368" t="s">
        <v>173</v>
      </c>
      <c r="K21" s="475"/>
      <c r="L21" s="394"/>
      <c r="M21" s="395"/>
      <c r="N21" s="201"/>
    </row>
    <row r="22" spans="1:14" ht="25.5" customHeight="1">
      <c r="A22" s="215" t="s">
        <v>301</v>
      </c>
      <c r="B22" s="116">
        <v>1</v>
      </c>
      <c r="C22" s="623" t="s">
        <v>188</v>
      </c>
      <c r="D22" s="623"/>
      <c r="E22" s="530">
        <v>4</v>
      </c>
      <c r="F22" s="462">
        <v>73</v>
      </c>
      <c r="G22" s="375">
        <v>73</v>
      </c>
      <c r="H22" s="208" t="s">
        <v>298</v>
      </c>
      <c r="I22" s="117">
        <v>1</v>
      </c>
      <c r="J22" s="366" t="s">
        <v>175</v>
      </c>
      <c r="K22" s="472"/>
      <c r="L22" s="389">
        <v>336</v>
      </c>
      <c r="M22" s="390">
        <v>318</v>
      </c>
      <c r="N22" s="201"/>
    </row>
    <row r="23" spans="1:14" ht="28.5" customHeight="1" thickBot="1">
      <c r="A23" s="212" t="s">
        <v>230</v>
      </c>
      <c r="B23" s="125">
        <v>1</v>
      </c>
      <c r="C23" s="626" t="s">
        <v>308</v>
      </c>
      <c r="D23" s="626"/>
      <c r="E23" s="531"/>
      <c r="F23" s="464">
        <v>3887</v>
      </c>
      <c r="G23" s="477">
        <v>4049</v>
      </c>
      <c r="H23" s="208" t="s">
        <v>302</v>
      </c>
      <c r="I23" s="117">
        <v>1</v>
      </c>
      <c r="J23" s="366" t="s">
        <v>180</v>
      </c>
      <c r="K23" s="472"/>
      <c r="L23" s="389">
        <v>0</v>
      </c>
      <c r="M23" s="390">
        <v>44</v>
      </c>
      <c r="N23" s="201"/>
    </row>
    <row r="24" spans="1:14" ht="29.25" customHeight="1" thickBot="1">
      <c r="A24" s="214" t="s">
        <v>19</v>
      </c>
      <c r="B24" s="126">
        <v>1</v>
      </c>
      <c r="C24" s="627" t="s">
        <v>190</v>
      </c>
      <c r="D24" s="627"/>
      <c r="E24" s="475"/>
      <c r="F24" s="465"/>
      <c r="G24" s="377"/>
      <c r="H24" s="213" t="s">
        <v>230</v>
      </c>
      <c r="I24" s="125">
        <v>1</v>
      </c>
      <c r="J24" s="362" t="s">
        <v>310</v>
      </c>
      <c r="K24" s="531">
        <v>10</v>
      </c>
      <c r="L24" s="392">
        <v>336</v>
      </c>
      <c r="M24" s="393">
        <v>362</v>
      </c>
      <c r="N24" s="201"/>
    </row>
    <row r="25" spans="1:14" ht="23.25" customHeight="1">
      <c r="A25" s="127" t="s">
        <v>296</v>
      </c>
      <c r="B25" s="117">
        <v>1</v>
      </c>
      <c r="C25" s="623" t="s">
        <v>116</v>
      </c>
      <c r="D25" s="623"/>
      <c r="E25" s="471"/>
      <c r="F25" s="461"/>
      <c r="G25" s="374"/>
      <c r="H25" s="214" t="s">
        <v>25</v>
      </c>
      <c r="I25" s="124">
        <v>1</v>
      </c>
      <c r="J25" s="368" t="s">
        <v>183</v>
      </c>
      <c r="K25" s="475"/>
      <c r="L25" s="394"/>
      <c r="M25" s="395"/>
      <c r="N25" s="201"/>
    </row>
    <row r="26" spans="1:14" ht="27.75" customHeight="1">
      <c r="A26" s="206" t="s">
        <v>298</v>
      </c>
      <c r="B26" s="117">
        <v>1</v>
      </c>
      <c r="C26" s="624" t="s">
        <v>192</v>
      </c>
      <c r="D26" s="624"/>
      <c r="E26" s="532"/>
      <c r="F26" s="462">
        <v>961</v>
      </c>
      <c r="G26" s="375">
        <v>998</v>
      </c>
      <c r="H26" s="208" t="s">
        <v>298</v>
      </c>
      <c r="I26" s="117">
        <v>1</v>
      </c>
      <c r="J26" s="366" t="s">
        <v>189</v>
      </c>
      <c r="K26" s="530">
        <v>11</v>
      </c>
      <c r="L26" s="396">
        <v>4053</v>
      </c>
      <c r="M26" s="397">
        <v>2724</v>
      </c>
      <c r="N26" s="201"/>
    </row>
    <row r="27" spans="1:14" ht="27" customHeight="1">
      <c r="A27" s="211" t="s">
        <v>230</v>
      </c>
      <c r="B27" s="117">
        <v>1</v>
      </c>
      <c r="C27" s="623" t="s">
        <v>306</v>
      </c>
      <c r="D27" s="623"/>
      <c r="E27" s="530">
        <v>5</v>
      </c>
      <c r="F27" s="463">
        <v>961</v>
      </c>
      <c r="G27" s="376">
        <v>998</v>
      </c>
      <c r="H27" s="208" t="s">
        <v>300</v>
      </c>
      <c r="I27" s="117">
        <v>1</v>
      </c>
      <c r="J27" s="366" t="s">
        <v>186</v>
      </c>
      <c r="K27" s="472"/>
      <c r="L27" s="389">
        <v>1083</v>
      </c>
      <c r="M27" s="390">
        <v>859</v>
      </c>
      <c r="N27" s="201"/>
    </row>
    <row r="28" spans="1:14" ht="24.75" customHeight="1">
      <c r="A28" s="127" t="s">
        <v>297</v>
      </c>
      <c r="B28" s="117">
        <v>1</v>
      </c>
      <c r="C28" s="623" t="s">
        <v>197</v>
      </c>
      <c r="D28" s="623"/>
      <c r="E28" s="471"/>
      <c r="F28" s="461"/>
      <c r="G28" s="374"/>
      <c r="H28" s="208" t="s">
        <v>300</v>
      </c>
      <c r="I28" s="117">
        <v>1</v>
      </c>
      <c r="J28" s="366" t="s">
        <v>187</v>
      </c>
      <c r="K28" s="472"/>
      <c r="L28" s="389">
        <v>2970</v>
      </c>
      <c r="M28" s="390">
        <v>1865</v>
      </c>
      <c r="N28" s="201"/>
    </row>
    <row r="29" spans="1:14" ht="23.25" customHeight="1">
      <c r="A29" s="206" t="s">
        <v>298</v>
      </c>
      <c r="B29" s="117">
        <v>1</v>
      </c>
      <c r="C29" s="624" t="s">
        <v>329</v>
      </c>
      <c r="D29" s="624"/>
      <c r="E29" s="472"/>
      <c r="F29" s="462">
        <v>1753</v>
      </c>
      <c r="G29" s="375">
        <v>2355</v>
      </c>
      <c r="H29" s="208" t="s">
        <v>302</v>
      </c>
      <c r="I29" s="117">
        <v>1</v>
      </c>
      <c r="J29" s="366" t="s">
        <v>195</v>
      </c>
      <c r="K29" s="530">
        <v>12</v>
      </c>
      <c r="L29" s="396">
        <v>1502</v>
      </c>
      <c r="M29" s="397">
        <v>512</v>
      </c>
      <c r="N29" s="201"/>
    </row>
    <row r="30" spans="1:14" ht="24.75" customHeight="1">
      <c r="A30" s="206" t="s">
        <v>302</v>
      </c>
      <c r="B30" s="117">
        <v>1</v>
      </c>
      <c r="C30" s="628" t="s">
        <v>330</v>
      </c>
      <c r="D30" s="628"/>
      <c r="E30" s="473"/>
      <c r="F30" s="466">
        <v>1807</v>
      </c>
      <c r="G30" s="378">
        <v>1288</v>
      </c>
      <c r="H30" s="208" t="s">
        <v>300</v>
      </c>
      <c r="I30" s="117">
        <v>1</v>
      </c>
      <c r="J30" s="366" t="s">
        <v>186</v>
      </c>
      <c r="K30" s="472"/>
      <c r="L30" s="389">
        <v>1502</v>
      </c>
      <c r="M30" s="390">
        <v>512</v>
      </c>
      <c r="N30" s="201"/>
    </row>
    <row r="31" spans="1:14" ht="24" customHeight="1">
      <c r="A31" s="211" t="s">
        <v>230</v>
      </c>
      <c r="B31" s="117">
        <v>1</v>
      </c>
      <c r="C31" s="623" t="s">
        <v>299</v>
      </c>
      <c r="D31" s="623"/>
      <c r="E31" s="530">
        <v>6</v>
      </c>
      <c r="F31" s="467">
        <v>3560</v>
      </c>
      <c r="G31" s="379">
        <v>3643</v>
      </c>
      <c r="H31" s="208" t="s">
        <v>303</v>
      </c>
      <c r="I31" s="117">
        <v>1</v>
      </c>
      <c r="J31" s="365" t="s">
        <v>204</v>
      </c>
      <c r="K31" s="530">
        <v>13</v>
      </c>
      <c r="L31" s="396">
        <v>1596</v>
      </c>
      <c r="M31" s="397">
        <v>2577</v>
      </c>
      <c r="N31" s="201"/>
    </row>
    <row r="32" spans="1:14" ht="24.75" customHeight="1">
      <c r="A32" s="215" t="s">
        <v>301</v>
      </c>
      <c r="B32" s="117">
        <v>1</v>
      </c>
      <c r="C32" s="623" t="s">
        <v>208</v>
      </c>
      <c r="D32" s="623"/>
      <c r="E32" s="471"/>
      <c r="F32" s="468"/>
      <c r="G32" s="380"/>
      <c r="H32" s="209" t="s">
        <v>300</v>
      </c>
      <c r="I32" s="117">
        <v>1</v>
      </c>
      <c r="J32" s="365" t="s">
        <v>186</v>
      </c>
      <c r="K32" s="473"/>
      <c r="L32" s="398">
        <v>1596</v>
      </c>
      <c r="M32" s="399">
        <v>2577</v>
      </c>
      <c r="N32" s="201"/>
    </row>
    <row r="33" spans="1:14" ht="25.5" customHeight="1">
      <c r="A33" s="206" t="s">
        <v>300</v>
      </c>
      <c r="B33" s="117">
        <v>1</v>
      </c>
      <c r="C33" s="624" t="s">
        <v>277</v>
      </c>
      <c r="D33" s="624"/>
      <c r="E33" s="472"/>
      <c r="F33" s="466">
        <v>15</v>
      </c>
      <c r="G33" s="378">
        <v>18</v>
      </c>
      <c r="H33" s="209" t="s">
        <v>300</v>
      </c>
      <c r="I33" s="117">
        <v>1</v>
      </c>
      <c r="J33" s="365" t="s">
        <v>282</v>
      </c>
      <c r="K33" s="473"/>
      <c r="L33" s="396">
        <v>588</v>
      </c>
      <c r="M33" s="397">
        <v>511</v>
      </c>
      <c r="N33" s="201"/>
    </row>
    <row r="34" spans="1:14" ht="27" customHeight="1">
      <c r="A34" s="206" t="s">
        <v>300</v>
      </c>
      <c r="B34" s="117">
        <v>1</v>
      </c>
      <c r="C34" s="624" t="s">
        <v>278</v>
      </c>
      <c r="D34" s="624"/>
      <c r="E34" s="472"/>
      <c r="F34" s="466">
        <v>498</v>
      </c>
      <c r="G34" s="378">
        <v>253</v>
      </c>
      <c r="H34" s="208" t="s">
        <v>300</v>
      </c>
      <c r="I34" s="117">
        <v>1</v>
      </c>
      <c r="J34" s="365" t="s">
        <v>186</v>
      </c>
      <c r="K34" s="473"/>
      <c r="L34" s="400">
        <v>588</v>
      </c>
      <c r="M34" s="401">
        <v>511</v>
      </c>
      <c r="N34" s="201"/>
    </row>
    <row r="35" spans="1:14" ht="28.5" customHeight="1">
      <c r="A35" s="211" t="s">
        <v>230</v>
      </c>
      <c r="B35" s="117">
        <v>1</v>
      </c>
      <c r="C35" s="623" t="s">
        <v>304</v>
      </c>
      <c r="D35" s="623"/>
      <c r="E35" s="530">
        <v>7</v>
      </c>
      <c r="F35" s="467">
        <v>513</v>
      </c>
      <c r="G35" s="379">
        <v>271</v>
      </c>
      <c r="H35" s="209" t="s">
        <v>300</v>
      </c>
      <c r="I35" s="117">
        <v>1</v>
      </c>
      <c r="J35" s="365" t="s">
        <v>283</v>
      </c>
      <c r="K35" s="473"/>
      <c r="L35" s="396">
        <v>195</v>
      </c>
      <c r="M35" s="397">
        <v>169</v>
      </c>
      <c r="N35" s="201"/>
    </row>
    <row r="36" spans="1:14" ht="32.25" customHeight="1" thickBot="1">
      <c r="A36" s="212" t="s">
        <v>230</v>
      </c>
      <c r="B36" s="125">
        <v>1</v>
      </c>
      <c r="C36" s="626" t="s">
        <v>310</v>
      </c>
      <c r="D36" s="626"/>
      <c r="E36" s="531"/>
      <c r="F36" s="469">
        <v>5034</v>
      </c>
      <c r="G36" s="381">
        <v>4912</v>
      </c>
      <c r="H36" s="208" t="s">
        <v>300</v>
      </c>
      <c r="I36" s="117">
        <v>1</v>
      </c>
      <c r="J36" s="365" t="s">
        <v>186</v>
      </c>
      <c r="K36" s="473"/>
      <c r="L36" s="400">
        <v>195</v>
      </c>
      <c r="M36" s="401">
        <v>169</v>
      </c>
      <c r="N36" s="201"/>
    </row>
    <row r="37" spans="1:14" ht="29.25" customHeight="1" thickBot="1">
      <c r="A37" s="215" t="s">
        <v>25</v>
      </c>
      <c r="B37" s="115">
        <v>1</v>
      </c>
      <c r="C37" s="705" t="s">
        <v>209</v>
      </c>
      <c r="D37" s="705"/>
      <c r="E37" s="533">
        <v>8</v>
      </c>
      <c r="F37" s="478">
        <v>36</v>
      </c>
      <c r="G37" s="479">
        <v>38</v>
      </c>
      <c r="H37" s="208" t="s">
        <v>300</v>
      </c>
      <c r="I37" s="117">
        <v>1</v>
      </c>
      <c r="J37" s="365" t="s">
        <v>284</v>
      </c>
      <c r="K37" s="473"/>
      <c r="L37" s="396">
        <v>145</v>
      </c>
      <c r="M37" s="397">
        <v>150</v>
      </c>
      <c r="N37" s="201"/>
    </row>
    <row r="38" spans="1:14" ht="27.75" customHeight="1">
      <c r="A38" s="218" t="s">
        <v>211</v>
      </c>
      <c r="B38" s="219"/>
      <c r="C38" s="219"/>
      <c r="D38" s="219"/>
      <c r="E38" s="219"/>
      <c r="F38" s="382"/>
      <c r="G38" s="382"/>
      <c r="H38" s="208" t="s">
        <v>300</v>
      </c>
      <c r="I38" s="117">
        <v>1</v>
      </c>
      <c r="J38" s="365" t="s">
        <v>186</v>
      </c>
      <c r="K38" s="473"/>
      <c r="L38" s="400">
        <v>145</v>
      </c>
      <c r="M38" s="401">
        <v>150</v>
      </c>
      <c r="N38" s="201"/>
    </row>
    <row r="39" spans="1:13" ht="28.5" customHeight="1" thickBot="1">
      <c r="A39" s="218"/>
      <c r="B39" s="219"/>
      <c r="C39" s="219"/>
      <c r="D39" s="219"/>
      <c r="E39" s="219"/>
      <c r="F39" s="382"/>
      <c r="G39" s="382"/>
      <c r="H39" s="213" t="s">
        <v>230</v>
      </c>
      <c r="I39" s="125">
        <v>1</v>
      </c>
      <c r="J39" s="362" t="s">
        <v>317</v>
      </c>
      <c r="K39" s="476"/>
      <c r="L39" s="402">
        <v>7151</v>
      </c>
      <c r="M39" s="403">
        <v>5813</v>
      </c>
    </row>
    <row r="40" spans="1:13" ht="27.75" customHeight="1">
      <c r="A40" s="218"/>
      <c r="B40" s="219"/>
      <c r="C40" s="219"/>
      <c r="D40" s="219"/>
      <c r="E40" s="219"/>
      <c r="F40" s="382"/>
      <c r="G40" s="382"/>
      <c r="H40" s="208" t="s">
        <v>300</v>
      </c>
      <c r="I40" s="216">
        <v>1</v>
      </c>
      <c r="J40" s="217" t="s">
        <v>186</v>
      </c>
      <c r="K40" s="481"/>
      <c r="L40" s="404">
        <v>4181</v>
      </c>
      <c r="M40" s="405">
        <v>3948</v>
      </c>
    </row>
    <row r="41" spans="1:13" ht="30" customHeight="1">
      <c r="A41" s="218"/>
      <c r="B41" s="219"/>
      <c r="C41" s="219"/>
      <c r="D41" s="219"/>
      <c r="E41" s="219"/>
      <c r="F41" s="382"/>
      <c r="G41" s="382"/>
      <c r="H41" s="208" t="s">
        <v>300</v>
      </c>
      <c r="I41" s="117">
        <v>1</v>
      </c>
      <c r="J41" s="365" t="s">
        <v>187</v>
      </c>
      <c r="K41" s="473"/>
      <c r="L41" s="396">
        <v>2970</v>
      </c>
      <c r="M41" s="397">
        <v>1865</v>
      </c>
    </row>
    <row r="42" spans="1:13" ht="34.5" customHeight="1">
      <c r="A42" s="218"/>
      <c r="B42" s="219"/>
      <c r="C42" s="219"/>
      <c r="D42" s="219"/>
      <c r="E42" s="219"/>
      <c r="F42" s="382"/>
      <c r="G42" s="382"/>
      <c r="H42" s="207" t="s">
        <v>30</v>
      </c>
      <c r="I42" s="118">
        <v>1</v>
      </c>
      <c r="J42" s="363" t="s">
        <v>210</v>
      </c>
      <c r="K42" s="530">
        <v>14</v>
      </c>
      <c r="L42" s="406">
        <v>817</v>
      </c>
      <c r="M42" s="407">
        <v>813</v>
      </c>
    </row>
    <row r="43" spans="1:13" ht="26.25" customHeight="1">
      <c r="A43" s="218"/>
      <c r="B43" s="219"/>
      <c r="C43" s="219"/>
      <c r="D43" s="219"/>
      <c r="E43" s="219"/>
      <c r="F43" s="382"/>
      <c r="G43" s="382"/>
      <c r="H43" s="208" t="s">
        <v>300</v>
      </c>
      <c r="I43" s="117">
        <v>1</v>
      </c>
      <c r="J43" s="365" t="s">
        <v>285</v>
      </c>
      <c r="K43" s="473"/>
      <c r="L43" s="400">
        <v>813</v>
      </c>
      <c r="M43" s="401">
        <v>813</v>
      </c>
    </row>
    <row r="44" spans="1:14" ht="37.5" customHeight="1" thickBot="1">
      <c r="A44" s="218"/>
      <c r="B44" s="219"/>
      <c r="C44" s="219"/>
      <c r="D44" s="219"/>
      <c r="E44" s="219"/>
      <c r="F44" s="382"/>
      <c r="G44" s="382"/>
      <c r="H44" s="562" t="s">
        <v>346</v>
      </c>
      <c r="I44" s="563"/>
      <c r="J44" s="559" t="s">
        <v>286</v>
      </c>
      <c r="K44" s="564"/>
      <c r="L44" s="565">
        <v>4</v>
      </c>
      <c r="M44" s="566"/>
      <c r="N44" s="201"/>
    </row>
    <row r="45" spans="1:14" ht="28.5" customHeight="1" thickBot="1">
      <c r="A45" s="408"/>
      <c r="B45" s="409"/>
      <c r="C45" s="701" t="s">
        <v>55</v>
      </c>
      <c r="D45" s="702"/>
      <c r="E45" s="474"/>
      <c r="F45" s="470">
        <v>8957</v>
      </c>
      <c r="G45" s="413">
        <v>8999</v>
      </c>
      <c r="H45" s="410"/>
      <c r="I45" s="411"/>
      <c r="J45" s="449" t="s">
        <v>56</v>
      </c>
      <c r="K45" s="474"/>
      <c r="L45" s="412">
        <v>8957</v>
      </c>
      <c r="M45" s="413">
        <v>8999</v>
      </c>
      <c r="N45" s="201"/>
    </row>
    <row r="46" spans="1:14" ht="16.5" customHeight="1">
      <c r="A46" s="456"/>
      <c r="B46" s="457"/>
      <c r="C46" s="699" t="s">
        <v>344</v>
      </c>
      <c r="D46" s="700"/>
      <c r="E46" s="493"/>
      <c r="F46" s="494"/>
      <c r="G46" s="495"/>
      <c r="H46" s="496"/>
      <c r="I46" s="495"/>
      <c r="J46" s="493"/>
      <c r="K46" s="458"/>
      <c r="L46" s="459"/>
      <c r="M46" s="459"/>
      <c r="N46" s="201"/>
    </row>
    <row r="47" spans="1:14" ht="16.5" customHeight="1">
      <c r="A47" s="414" t="s">
        <v>211</v>
      </c>
      <c r="B47" s="415"/>
      <c r="C47" s="415" t="s">
        <v>335</v>
      </c>
      <c r="D47" s="415"/>
      <c r="E47" s="415"/>
      <c r="F47" s="415"/>
      <c r="G47" s="415"/>
      <c r="H47" s="414"/>
      <c r="I47" s="415"/>
      <c r="J47" s="415"/>
      <c r="M47" s="222"/>
      <c r="N47" s="201"/>
    </row>
    <row r="48" spans="1:14" ht="18.75">
      <c r="A48" s="414"/>
      <c r="B48" s="415"/>
      <c r="C48" s="415"/>
      <c r="D48" s="415"/>
      <c r="E48" s="415"/>
      <c r="F48" s="415"/>
      <c r="G48" s="415"/>
      <c r="H48" s="414"/>
      <c r="I48" s="415"/>
      <c r="J48" s="415"/>
      <c r="M48" s="222"/>
      <c r="N48" s="201"/>
    </row>
    <row r="49" spans="1:13" ht="19.5">
      <c r="A49" s="414"/>
      <c r="B49" s="415"/>
      <c r="C49" s="484" t="s">
        <v>352</v>
      </c>
      <c r="D49" s="485"/>
      <c r="E49" s="485"/>
      <c r="F49" s="486"/>
      <c r="G49" s="487"/>
      <c r="H49" s="488"/>
      <c r="I49" s="489"/>
      <c r="J49" s="489"/>
      <c r="K49" s="19"/>
      <c r="L49" s="222"/>
      <c r="M49" s="222"/>
    </row>
    <row r="50" spans="1:13" ht="19.5">
      <c r="A50" s="414"/>
      <c r="B50" s="415"/>
      <c r="C50" s="490" t="s">
        <v>353</v>
      </c>
      <c r="D50" s="491"/>
      <c r="E50" s="491"/>
      <c r="F50" s="491"/>
      <c r="G50" s="491"/>
      <c r="H50" s="492"/>
      <c r="I50" s="491"/>
      <c r="J50" s="491"/>
      <c r="K50" s="12"/>
      <c r="L50" s="223"/>
      <c r="M50" s="224"/>
    </row>
    <row r="51" spans="1:13" ht="84.75" customHeight="1">
      <c r="A51" s="414" t="s">
        <v>211</v>
      </c>
      <c r="B51" s="415"/>
      <c r="C51" s="491"/>
      <c r="D51" s="491"/>
      <c r="E51" s="491"/>
      <c r="F51" s="504"/>
      <c r="G51" s="491"/>
      <c r="H51" s="492"/>
      <c r="I51" s="491"/>
      <c r="J51" s="504"/>
      <c r="K51" s="13"/>
      <c r="M51" s="224"/>
    </row>
    <row r="52" spans="1:11" ht="18.75">
      <c r="A52" s="414"/>
      <c r="B52" s="415"/>
      <c r="C52" s="455" t="s">
        <v>325</v>
      </c>
      <c r="D52" s="502"/>
      <c r="E52" s="502"/>
      <c r="F52" s="502"/>
      <c r="G52" s="502"/>
      <c r="H52" s="503"/>
      <c r="I52" s="502"/>
      <c r="J52" s="502"/>
      <c r="K52" s="15"/>
    </row>
    <row r="53" spans="1:11" ht="18.75">
      <c r="A53" s="414"/>
      <c r="B53" s="415"/>
      <c r="C53" s="416" t="s">
        <v>321</v>
      </c>
      <c r="D53" s="502"/>
      <c r="E53" s="502"/>
      <c r="F53" s="502"/>
      <c r="G53" s="502"/>
      <c r="H53" s="503"/>
      <c r="I53" s="502"/>
      <c r="J53" s="502"/>
      <c r="K53" s="15"/>
    </row>
    <row r="54" spans="1:12" ht="77.25" customHeight="1">
      <c r="A54" s="414" t="s">
        <v>211</v>
      </c>
      <c r="B54" s="415"/>
      <c r="C54" s="491"/>
      <c r="D54" s="455"/>
      <c r="E54" s="455"/>
      <c r="F54" s="502"/>
      <c r="G54" s="455"/>
      <c r="H54" s="503"/>
      <c r="I54" s="455"/>
      <c r="J54" s="502"/>
      <c r="K54" s="15"/>
      <c r="L54" s="482"/>
    </row>
    <row r="55" spans="1:12" ht="18.75">
      <c r="A55" s="414"/>
      <c r="B55" s="415"/>
      <c r="C55" s="703" t="s">
        <v>324</v>
      </c>
      <c r="D55" s="703"/>
      <c r="E55" s="703"/>
      <c r="F55" s="704"/>
      <c r="G55" s="704"/>
      <c r="H55" s="503"/>
      <c r="I55" s="502"/>
      <c r="J55" s="502"/>
      <c r="K55" s="15"/>
      <c r="L55" s="482">
        <v>1</v>
      </c>
    </row>
    <row r="56" spans="1:11" ht="18.75">
      <c r="A56" s="414"/>
      <c r="B56" s="415"/>
      <c r="C56" s="416" t="s">
        <v>322</v>
      </c>
      <c r="D56" s="502"/>
      <c r="E56" s="502"/>
      <c r="F56" s="502"/>
      <c r="G56" s="502"/>
      <c r="H56" s="503"/>
      <c r="I56" s="502"/>
      <c r="J56" s="502"/>
      <c r="K56" s="15"/>
    </row>
  </sheetData>
  <sheetProtection/>
  <mergeCells count="44">
    <mergeCell ref="C32:D32"/>
    <mergeCell ref="C46:D46"/>
    <mergeCell ref="C45:D45"/>
    <mergeCell ref="C55:G55"/>
    <mergeCell ref="C33:D33"/>
    <mergeCell ref="C34:D34"/>
    <mergeCell ref="C35:D35"/>
    <mergeCell ref="C36:D36"/>
    <mergeCell ref="C37:D37"/>
    <mergeCell ref="C30:D30"/>
    <mergeCell ref="C31:D31"/>
    <mergeCell ref="C27:D27"/>
    <mergeCell ref="C28:D28"/>
    <mergeCell ref="C29:D29"/>
    <mergeCell ref="A7:D8"/>
    <mergeCell ref="C23:D23"/>
    <mergeCell ref="C24:D24"/>
    <mergeCell ref="C25:D25"/>
    <mergeCell ref="C26:D26"/>
    <mergeCell ref="C15:D15"/>
    <mergeCell ref="C16:D16"/>
    <mergeCell ref="C11:D11"/>
    <mergeCell ref="C12:D12"/>
    <mergeCell ref="E7:E8"/>
    <mergeCell ref="A9:D9"/>
    <mergeCell ref="C22:D22"/>
    <mergeCell ref="C18:D18"/>
    <mergeCell ref="C20:D20"/>
    <mergeCell ref="C21:D21"/>
    <mergeCell ref="C19:D19"/>
    <mergeCell ref="H9:J9"/>
    <mergeCell ref="C17:D17"/>
    <mergeCell ref="C10:D10"/>
    <mergeCell ref="C13:D13"/>
    <mergeCell ref="C14:D14"/>
    <mergeCell ref="C1:M1"/>
    <mergeCell ref="C2:M2"/>
    <mergeCell ref="C3:M3"/>
    <mergeCell ref="A6:G6"/>
    <mergeCell ref="H6:M6"/>
    <mergeCell ref="H7:J8"/>
    <mergeCell ref="L7:M7"/>
    <mergeCell ref="F7:G7"/>
    <mergeCell ref="K7:K8"/>
  </mergeCells>
  <conditionalFormatting sqref="F45:F46 L45:L46">
    <cfRule type="expression" priority="1" dxfId="0" stopIfTrue="1">
      <formula>$F$45&lt;&gt;$L$45</formula>
    </cfRule>
  </conditionalFormatting>
  <conditionalFormatting sqref="H45:I46">
    <cfRule type="expression" priority="17" dxfId="0" stopIfTrue="1">
      <formula>H$45&lt;&gt;N$44</formula>
    </cfRule>
  </conditionalFormatting>
  <conditionalFormatting sqref="M45:M46">
    <cfRule type="expression" priority="19" dxfId="0" stopIfTrue="1">
      <formula>M$45&lt;&gt;G$45</formula>
    </cfRule>
  </conditionalFormatting>
  <conditionalFormatting sqref="G45:G46">
    <cfRule type="expression" priority="20" dxfId="0" stopIfTrue="1">
      <formula>G$45&lt;&gt;M$45</formula>
    </cfRule>
  </conditionalFormatting>
  <dataValidations count="1">
    <dataValidation allowBlank="1" showErrorMessage="1" promptTitle="4.1." sqref="J44"/>
  </dataValidations>
  <printOptions horizontalCentered="1"/>
  <pageMargins left="0.4330708661417323" right="0.1968503937007874" top="0.3937007874015748" bottom="0.35433070866141736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 007</dc:creator>
  <cp:keywords/>
  <dc:description/>
  <cp:lastModifiedBy>Petia Deribeeva</cp:lastModifiedBy>
  <cp:lastPrinted>2020-03-21T14:32:57Z</cp:lastPrinted>
  <dcterms:created xsi:type="dcterms:W3CDTF">2008-06-30T13:24:39Z</dcterms:created>
  <dcterms:modified xsi:type="dcterms:W3CDTF">2020-06-04T12:01:17Z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